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СД\public\Счетоводна отчетност\SPARVKI\SCF spravki\INTERNET\МВУ\042023\"/>
    </mc:Choice>
  </mc:AlternateContent>
  <bookViews>
    <workbookView xWindow="0" yWindow="0" windowWidth="28800" windowHeight="11730"/>
  </bookViews>
  <sheets>
    <sheet name="SCF_financial info_EUR_BUL" sheetId="5" r:id="rId1"/>
  </sheets>
  <definedNames>
    <definedName name="_xlnm.Print_Area" localSheetId="0">'SCF_financial info_EUR_BUL'!$A$1:$I$40</definedName>
  </definedNames>
  <calcPr calcId="162913"/>
</workbook>
</file>

<file path=xl/calcChain.xml><?xml version="1.0" encoding="utf-8"?>
<calcChain xmlns="http://schemas.openxmlformats.org/spreadsheetml/2006/main">
  <c r="J42" i="5" l="1"/>
  <c r="D25" i="5" l="1"/>
  <c r="C25" i="5"/>
  <c r="C17" i="5"/>
  <c r="C19" i="5"/>
  <c r="E25" i="5" l="1"/>
  <c r="I32" i="5" l="1"/>
  <c r="I33" i="5"/>
  <c r="I34" i="5"/>
  <c r="I35" i="5"/>
  <c r="I36" i="5"/>
  <c r="I37" i="5"/>
  <c r="I38" i="5"/>
  <c r="I39" i="5"/>
  <c r="G37" i="5"/>
  <c r="G31" i="5"/>
  <c r="G30" i="5"/>
  <c r="H30" i="5"/>
  <c r="G22" i="5"/>
  <c r="C33" i="5"/>
  <c r="E33" i="5" s="1"/>
  <c r="E17" i="5"/>
  <c r="H31" i="5" l="1"/>
  <c r="D38" i="5"/>
  <c r="C38" i="5"/>
  <c r="D27" i="5"/>
  <c r="C27" i="5"/>
  <c r="D26" i="5"/>
  <c r="C26" i="5"/>
  <c r="C18" i="5"/>
  <c r="C16" i="5"/>
  <c r="C12" i="5"/>
  <c r="C11" i="5"/>
  <c r="C10" i="5"/>
  <c r="D10" i="5"/>
  <c r="E10" i="5" l="1"/>
  <c r="E26" i="5"/>
  <c r="E27" i="5"/>
  <c r="E11" i="5"/>
  <c r="E38" i="5"/>
  <c r="E18" i="5"/>
  <c r="E16" i="5"/>
  <c r="E12" i="5"/>
  <c r="I31" i="5" l="1"/>
  <c r="D21" i="5" l="1"/>
  <c r="C21" i="5"/>
  <c r="C20" i="5"/>
  <c r="D14" i="5"/>
  <c r="C14" i="5"/>
  <c r="C13" i="5"/>
  <c r="D6" i="5"/>
  <c r="C6" i="5"/>
  <c r="D13" i="5" l="1"/>
  <c r="E13" i="5" s="1"/>
  <c r="E6" i="5" l="1"/>
  <c r="D20" i="5"/>
  <c r="E20" i="5" s="1"/>
  <c r="E14" i="5"/>
  <c r="E21" i="5" l="1"/>
  <c r="D7" i="5"/>
  <c r="D5" i="5" l="1"/>
  <c r="C5" i="5" l="1"/>
  <c r="D23" i="5" l="1"/>
  <c r="C23" i="5"/>
  <c r="E23" i="5" s="1"/>
  <c r="D9" i="5" l="1"/>
  <c r="C9" i="5"/>
  <c r="E9" i="5" s="1"/>
  <c r="D8" i="5"/>
  <c r="C8" i="5"/>
  <c r="E8" i="5" s="1"/>
  <c r="F40" i="5"/>
  <c r="C7" i="5"/>
  <c r="E7" i="5" s="1"/>
  <c r="D39" i="5"/>
  <c r="C39" i="5"/>
  <c r="E39" i="5" s="1"/>
  <c r="D37" i="5"/>
  <c r="C37" i="5"/>
  <c r="D36" i="5"/>
  <c r="C36" i="5"/>
  <c r="D35" i="5"/>
  <c r="C35" i="5"/>
  <c r="D34" i="5"/>
  <c r="C34" i="5"/>
  <c r="D32" i="5"/>
  <c r="C32" i="5"/>
  <c r="D31" i="5"/>
  <c r="C31" i="5"/>
  <c r="H19" i="5"/>
  <c r="H40" i="5" s="1"/>
  <c r="D30" i="5"/>
  <c r="C30" i="5"/>
  <c r="D29" i="5"/>
  <c r="C29" i="5"/>
  <c r="C28" i="5"/>
  <c r="D28" i="5"/>
  <c r="C24" i="5"/>
  <c r="D24" i="5"/>
  <c r="C22" i="5"/>
  <c r="G19" i="5"/>
  <c r="G40" i="5" s="1"/>
  <c r="D19" i="5"/>
  <c r="E5" i="5" l="1"/>
  <c r="D40" i="5"/>
  <c r="E19" i="5" l="1"/>
  <c r="E22" i="5"/>
  <c r="E24" i="5"/>
  <c r="E28" i="5"/>
  <c r="E29" i="5"/>
  <c r="E30" i="5"/>
  <c r="E31" i="5"/>
  <c r="E32" i="5"/>
  <c r="E34" i="5"/>
  <c r="E35" i="5"/>
  <c r="E36" i="5"/>
  <c r="E37" i="5"/>
  <c r="C15" i="5"/>
  <c r="C40" i="5" s="1"/>
  <c r="E15" i="5" l="1"/>
  <c r="E40" i="5" s="1"/>
  <c r="I30" i="5"/>
  <c r="I22" i="5" l="1"/>
  <c r="I19" i="5"/>
  <c r="I40" i="5" l="1"/>
</calcChain>
</file>

<file path=xl/sharedStrings.xml><?xml version="1.0" encoding="utf-8"?>
<sst xmlns="http://schemas.openxmlformats.org/spreadsheetml/2006/main" count="81" uniqueCount="47">
  <si>
    <t>валута</t>
  </si>
  <si>
    <t>ЕС - част</t>
  </si>
  <si>
    <t>евро</t>
  </si>
  <si>
    <t>Сума</t>
  </si>
  <si>
    <t>НС - част</t>
  </si>
  <si>
    <t>Бюджет на инвестицията ЕС част</t>
  </si>
  <si>
    <t>Бюджет на инвестицията БГ част</t>
  </si>
  <si>
    <t>Бюджет на инвестицията  - ОБЩО</t>
  </si>
  <si>
    <t>К7.И2 МВР</t>
  </si>
  <si>
    <t>Инвестиция</t>
  </si>
  <si>
    <t>К4.И4 Електроенергиен системен оператор</t>
  </si>
  <si>
    <t>К8.И6 Метрополитен</t>
  </si>
  <si>
    <t>К10.И8 МВР</t>
  </si>
  <si>
    <t xml:space="preserve">К10.И4 МВР </t>
  </si>
  <si>
    <t>К10.И10 НСИ</t>
  </si>
  <si>
    <t>К10.И11 АМС, ИПА, ОСЕС</t>
  </si>
  <si>
    <t>К11.И2 МТСП</t>
  </si>
  <si>
    <t>К11.И3 МТСП</t>
  </si>
  <si>
    <t>К12.И1 МЗ</t>
  </si>
  <si>
    <t>К12.И2 МЗ</t>
  </si>
  <si>
    <t>К12.И3 МЗ</t>
  </si>
  <si>
    <t>К12.И4 МЗ</t>
  </si>
  <si>
    <t>К12.И6 МВР</t>
  </si>
  <si>
    <t>К1.И1 МОН</t>
  </si>
  <si>
    <t>К1.И4 МОН</t>
  </si>
  <si>
    <t>К2.И1 МИР</t>
  </si>
  <si>
    <t>К2.И1 МОН</t>
  </si>
  <si>
    <t>К10.И3 ПРБ</t>
  </si>
  <si>
    <t>К4.И1 МРРБ СГРАДЕН ФОНД</t>
  </si>
  <si>
    <t>К8.И3 МТС И НКЖИ</t>
  </si>
  <si>
    <t>К8.И4 МТС И НКЖИ</t>
  </si>
  <si>
    <t>К1.И2 МОН</t>
  </si>
  <si>
    <t>К4.И1 МРРБ ЖИЛИЩЕН СГРАДЕН ФОНД</t>
  </si>
  <si>
    <t>К3.И2 МИР</t>
  </si>
  <si>
    <t>К4.И6 МЕ</t>
  </si>
  <si>
    <t>К4.И8 МЕ</t>
  </si>
  <si>
    <t>К12.И5 МЗ</t>
  </si>
  <si>
    <t>К3.И1 МИР</t>
  </si>
  <si>
    <t xml:space="preserve">К10.И7 МРРБ </t>
  </si>
  <si>
    <t xml:space="preserve">К10.И6 МРРБ </t>
  </si>
  <si>
    <t>К2.И2 БАН</t>
  </si>
  <si>
    <t>К4.И7 МЕ</t>
  </si>
  <si>
    <t>К11.И6 НФК</t>
  </si>
  <si>
    <t>Общо платено към 30.04.2023</t>
  </si>
  <si>
    <t>Платено към 30.04.2023</t>
  </si>
  <si>
    <t>Получени средства от ЕК на основание изпратени заявления за плащане към 30.04.2023</t>
  </si>
  <si>
    <t>К10.И5 ВСС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</si>
</sst>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Border="1"/>
    <xf numFmtId="169" fontId="3" fillId="2" borderId="1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horizontal="center" vertical="center" wrapText="1"/>
    </xf>
    <xf numFmtId="169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8" fontId="4" fillId="2" borderId="0" xfId="0" applyNumberFormat="1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3" fillId="2" borderId="0" xfId="0" applyFont="1" applyFill="1"/>
    <xf numFmtId="3" fontId="4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9" fontId="3" fillId="2" borderId="0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 vertical="center"/>
    </xf>
    <xf numFmtId="169" fontId="5" fillId="2" borderId="8" xfId="0" applyNumberFormat="1" applyFont="1" applyFill="1" applyBorder="1" applyAlignment="1">
      <alignment horizontal="center" vertical="center"/>
    </xf>
    <xf numFmtId="169" fontId="5" fillId="2" borderId="2" xfId="0" applyNumberFormat="1" applyFont="1" applyFill="1" applyBorder="1" applyAlignment="1">
      <alignment horizontal="center" vertical="center"/>
    </xf>
  </cellXfs>
  <cellStyles count="5">
    <cellStyle name="Comma 2" xfId="3"/>
    <cellStyle name="Currency" xfId="1" builtinId="4"/>
    <cellStyle name="Currency 4" xfId="4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9966FF"/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="80" zoomScaleNormal="90" zoomScaleSheetLayoutView="80" workbookViewId="0">
      <pane xSplit="1" ySplit="3" topLeftCell="E29" activePane="bottomRight" state="frozen"/>
      <selection pane="topRight" activeCell="B1" sqref="B1"/>
      <selection pane="bottomLeft" activeCell="A4" sqref="A4"/>
      <selection pane="bottomRight" activeCell="G37" sqref="G37"/>
    </sheetView>
  </sheetViews>
  <sheetFormatPr defaultColWidth="9.140625" defaultRowHeight="15" x14ac:dyDescent="0.25"/>
  <cols>
    <col min="1" max="1" width="37.7109375" style="5" customWidth="1"/>
    <col min="2" max="2" width="7.85546875" style="9" customWidth="1"/>
    <col min="3" max="3" width="25.7109375" style="9" customWidth="1"/>
    <col min="4" max="4" width="29.5703125" style="9" customWidth="1"/>
    <col min="5" max="5" width="23.42578125" style="9" customWidth="1"/>
    <col min="6" max="6" width="18.7109375" style="9" customWidth="1"/>
    <col min="7" max="7" width="21.28515625" style="5" customWidth="1"/>
    <col min="8" max="8" width="16.28515625" style="5" customWidth="1"/>
    <col min="9" max="9" width="23.85546875" style="5" customWidth="1"/>
    <col min="10" max="10" width="19.140625" style="5" customWidth="1"/>
    <col min="11" max="11" width="14.5703125" style="5" customWidth="1"/>
    <col min="12" max="12" width="21.28515625" style="5" customWidth="1"/>
    <col min="13" max="13" width="11.28515625" style="5" bestFit="1" customWidth="1"/>
    <col min="14" max="16384" width="9.140625" style="5"/>
  </cols>
  <sheetData>
    <row r="1" spans="1:12" s="1" customFormat="1" ht="11.25" customHeight="1" x14ac:dyDescent="0.2">
      <c r="A1" s="11"/>
      <c r="B1" s="11"/>
      <c r="C1" s="8"/>
      <c r="D1" s="8"/>
      <c r="E1" s="8"/>
      <c r="F1" s="8"/>
    </row>
    <row r="2" spans="1:12" s="12" customFormat="1" ht="12.75" customHeight="1" x14ac:dyDescent="0.2">
      <c r="A2" s="35" t="s">
        <v>9</v>
      </c>
      <c r="B2" s="35" t="s">
        <v>0</v>
      </c>
      <c r="C2" s="31" t="s">
        <v>5</v>
      </c>
      <c r="D2" s="38" t="s">
        <v>6</v>
      </c>
      <c r="E2" s="31" t="s">
        <v>7</v>
      </c>
      <c r="F2" s="31" t="s">
        <v>45</v>
      </c>
      <c r="G2" s="40" t="s">
        <v>44</v>
      </c>
      <c r="H2" s="41"/>
      <c r="I2" s="31" t="s">
        <v>43</v>
      </c>
      <c r="J2" s="1"/>
      <c r="K2" s="1"/>
    </row>
    <row r="3" spans="1:12" s="12" customFormat="1" ht="94.5" customHeight="1" x14ac:dyDescent="0.2">
      <c r="A3" s="36"/>
      <c r="B3" s="36"/>
      <c r="C3" s="37"/>
      <c r="D3" s="39"/>
      <c r="E3" s="37"/>
      <c r="F3" s="37"/>
      <c r="G3" s="28" t="s">
        <v>1</v>
      </c>
      <c r="H3" s="28" t="s">
        <v>4</v>
      </c>
      <c r="I3" s="32"/>
      <c r="J3" s="1"/>
      <c r="K3" s="1"/>
    </row>
    <row r="4" spans="1:12" s="12" customFormat="1" ht="18.75" customHeight="1" x14ac:dyDescent="0.2">
      <c r="A4" s="13">
        <v>1</v>
      </c>
      <c r="B4" s="29">
        <v>2</v>
      </c>
      <c r="C4" s="30">
        <v>3</v>
      </c>
      <c r="D4" s="29">
        <v>4</v>
      </c>
      <c r="E4" s="29">
        <v>5</v>
      </c>
      <c r="F4" s="29">
        <v>5</v>
      </c>
      <c r="G4" s="29">
        <v>7</v>
      </c>
      <c r="H4" s="30">
        <v>8</v>
      </c>
      <c r="I4" s="30">
        <v>9</v>
      </c>
      <c r="J4" s="1"/>
      <c r="K4" s="1"/>
    </row>
    <row r="5" spans="1:12" s="18" customFormat="1" ht="28.5" customHeight="1" x14ac:dyDescent="0.25">
      <c r="A5" s="22" t="s">
        <v>23</v>
      </c>
      <c r="B5" s="14" t="s">
        <v>2</v>
      </c>
      <c r="C5" s="6">
        <f>480125916.67/1.95583</f>
        <v>245484483.14526314</v>
      </c>
      <c r="D5" s="6">
        <f>96025183.33/1.95583</f>
        <v>49096896.627007462</v>
      </c>
      <c r="E5" s="6">
        <f t="shared" ref="E5:E18" si="0">C5+D5</f>
        <v>294581379.77227062</v>
      </c>
      <c r="F5" s="42">
        <v>1368912911</v>
      </c>
      <c r="G5" s="2">
        <v>0</v>
      </c>
      <c r="H5" s="2">
        <v>0</v>
      </c>
      <c r="I5" s="2">
        <v>0</v>
      </c>
      <c r="J5" s="1"/>
      <c r="K5" s="1"/>
      <c r="L5" s="17"/>
    </row>
    <row r="6" spans="1:12" s="18" customFormat="1" ht="28.5" customHeight="1" x14ac:dyDescent="0.25">
      <c r="A6" s="23" t="s">
        <v>31</v>
      </c>
      <c r="B6" s="14" t="s">
        <v>2</v>
      </c>
      <c r="C6" s="6">
        <f>569418333.99/1.95583</f>
        <v>291138971.17336375</v>
      </c>
      <c r="D6" s="6">
        <f>113340166.8/1.95583</f>
        <v>57949907.098265186</v>
      </c>
      <c r="E6" s="6">
        <f t="shared" si="0"/>
        <v>349088878.27162892</v>
      </c>
      <c r="F6" s="43"/>
      <c r="G6" s="2">
        <v>0</v>
      </c>
      <c r="H6" s="2">
        <v>0</v>
      </c>
      <c r="I6" s="2">
        <v>0</v>
      </c>
      <c r="J6" s="1"/>
      <c r="K6" s="1"/>
      <c r="L6" s="17"/>
    </row>
    <row r="7" spans="1:12" s="18" customFormat="1" ht="28.5" customHeight="1" x14ac:dyDescent="0.25">
      <c r="A7" s="23" t="s">
        <v>24</v>
      </c>
      <c r="B7" s="21" t="s">
        <v>2</v>
      </c>
      <c r="C7" s="6">
        <f>63082288.32/1.95583</f>
        <v>32253461.865295041</v>
      </c>
      <c r="D7" s="6">
        <f>6917711.68/1.95583</f>
        <v>3536969.8184402529</v>
      </c>
      <c r="E7" s="6">
        <f t="shared" si="0"/>
        <v>35790431.683735296</v>
      </c>
      <c r="F7" s="43"/>
      <c r="G7" s="2">
        <v>0</v>
      </c>
      <c r="H7" s="2">
        <v>0</v>
      </c>
      <c r="I7" s="2">
        <v>0</v>
      </c>
      <c r="J7" s="1"/>
      <c r="K7" s="1"/>
      <c r="L7" s="17"/>
    </row>
    <row r="8" spans="1:12" s="18" customFormat="1" ht="28.5" customHeight="1" x14ac:dyDescent="0.25">
      <c r="A8" s="22" t="s">
        <v>25</v>
      </c>
      <c r="B8" s="14" t="s">
        <v>2</v>
      </c>
      <c r="C8" s="6">
        <f>104541120/1.95583</f>
        <v>53451025.907159619</v>
      </c>
      <c r="D8" s="6">
        <f>15412800/1.95583</f>
        <v>7880439.5065010767</v>
      </c>
      <c r="E8" s="6">
        <f t="shared" si="0"/>
        <v>61331465.413660698</v>
      </c>
      <c r="F8" s="43"/>
      <c r="G8" s="2">
        <v>0</v>
      </c>
      <c r="H8" s="2">
        <v>0</v>
      </c>
      <c r="I8" s="2">
        <v>0</v>
      </c>
      <c r="J8" s="1"/>
      <c r="K8" s="1"/>
      <c r="L8" s="17"/>
    </row>
    <row r="9" spans="1:12" s="18" customFormat="1" ht="28.5" customHeight="1" x14ac:dyDescent="0.25">
      <c r="A9" s="22" t="s">
        <v>26</v>
      </c>
      <c r="B9" s="14" t="s">
        <v>2</v>
      </c>
      <c r="C9" s="6">
        <f>261951880/1.95583</f>
        <v>133933869.50808609</v>
      </c>
      <c r="D9" s="6">
        <f>19139200/1.95583</f>
        <v>9785717.5725906659</v>
      </c>
      <c r="E9" s="6">
        <f t="shared" si="0"/>
        <v>143719587.08067676</v>
      </c>
      <c r="F9" s="43"/>
      <c r="G9" s="2">
        <v>0</v>
      </c>
      <c r="H9" s="2">
        <v>0</v>
      </c>
      <c r="I9" s="2">
        <v>0</v>
      </c>
      <c r="J9" s="1"/>
      <c r="K9" s="1"/>
      <c r="L9" s="17"/>
    </row>
    <row r="10" spans="1:12" s="18" customFormat="1" ht="28.5" customHeight="1" x14ac:dyDescent="0.25">
      <c r="A10" s="22" t="s">
        <v>40</v>
      </c>
      <c r="B10" s="14" t="s">
        <v>2</v>
      </c>
      <c r="C10" s="6">
        <f>31152195.88/1.95583</f>
        <v>15927864.834878286</v>
      </c>
      <c r="D10" s="6">
        <f>2793764.41/1.95583</f>
        <v>1428429.0608079436</v>
      </c>
      <c r="E10" s="6">
        <f t="shared" si="0"/>
        <v>17356293.895686232</v>
      </c>
      <c r="F10" s="43"/>
      <c r="G10" s="2">
        <v>0</v>
      </c>
      <c r="H10" s="2">
        <v>0</v>
      </c>
      <c r="I10" s="2">
        <v>0</v>
      </c>
      <c r="J10" s="1"/>
      <c r="K10" s="1"/>
      <c r="L10" s="17"/>
    </row>
    <row r="11" spans="1:12" s="18" customFormat="1" ht="28.5" customHeight="1" x14ac:dyDescent="0.25">
      <c r="A11" s="22" t="s">
        <v>37</v>
      </c>
      <c r="B11" s="14" t="s">
        <v>2</v>
      </c>
      <c r="C11" s="6">
        <f>216500000/1.95583</f>
        <v>110694692.2789813</v>
      </c>
      <c r="D11" s="6">
        <v>0</v>
      </c>
      <c r="E11" s="6">
        <f t="shared" si="0"/>
        <v>110694692.2789813</v>
      </c>
      <c r="F11" s="43"/>
      <c r="G11" s="2">
        <v>0</v>
      </c>
      <c r="H11" s="2">
        <v>0</v>
      </c>
      <c r="I11" s="2">
        <v>0</v>
      </c>
      <c r="J11" s="1"/>
      <c r="K11" s="1"/>
      <c r="L11" s="17"/>
    </row>
    <row r="12" spans="1:12" s="18" customFormat="1" ht="28.5" customHeight="1" x14ac:dyDescent="0.25">
      <c r="A12" s="22" t="s">
        <v>33</v>
      </c>
      <c r="B12" s="14" t="s">
        <v>2</v>
      </c>
      <c r="C12" s="6">
        <f>1349553900/1.95583</f>
        <v>690015952.30669332</v>
      </c>
      <c r="D12" s="6">
        <v>0</v>
      </c>
      <c r="E12" s="6">
        <f t="shared" si="0"/>
        <v>690015952.30669332</v>
      </c>
      <c r="F12" s="43"/>
      <c r="G12" s="2">
        <v>0</v>
      </c>
      <c r="H12" s="2">
        <v>0</v>
      </c>
      <c r="I12" s="2">
        <v>0</v>
      </c>
      <c r="J12" s="1"/>
      <c r="K12" s="1"/>
      <c r="L12" s="17"/>
    </row>
    <row r="13" spans="1:12" s="18" customFormat="1" ht="36" customHeight="1" x14ac:dyDescent="0.25">
      <c r="A13" s="24" t="s">
        <v>32</v>
      </c>
      <c r="B13" s="14" t="s">
        <v>2</v>
      </c>
      <c r="C13" s="6">
        <f>(594751564.5+594751564.5)/1.95583</f>
        <v>608183292.51519811</v>
      </c>
      <c r="D13" s="6">
        <f>(118113254.5+118113254.5)/1.95583</f>
        <v>120780696.17502543</v>
      </c>
      <c r="E13" s="6">
        <f t="shared" si="0"/>
        <v>728963988.69022357</v>
      </c>
      <c r="F13" s="43"/>
      <c r="G13" s="2">
        <v>0</v>
      </c>
      <c r="H13" s="2">
        <v>0</v>
      </c>
      <c r="I13" s="2">
        <v>0</v>
      </c>
      <c r="J13" s="1"/>
      <c r="K13" s="1"/>
      <c r="L13" s="17"/>
    </row>
    <row r="14" spans="1:12" s="18" customFormat="1" ht="28.5" customHeight="1" x14ac:dyDescent="0.25">
      <c r="A14" s="24" t="s">
        <v>28</v>
      </c>
      <c r="B14" s="14" t="s">
        <v>2</v>
      </c>
      <c r="C14" s="6">
        <f>617656233/1.95583</f>
        <v>315802617.30313987</v>
      </c>
      <c r="D14" s="6">
        <f>76491246/1.95583</f>
        <v>39109353.06238272</v>
      </c>
      <c r="E14" s="6">
        <f t="shared" si="0"/>
        <v>354911970.36552256</v>
      </c>
      <c r="F14" s="43"/>
      <c r="G14" s="2">
        <v>0</v>
      </c>
      <c r="H14" s="2">
        <v>0</v>
      </c>
      <c r="I14" s="2">
        <v>0</v>
      </c>
      <c r="J14" s="1"/>
      <c r="K14" s="1"/>
      <c r="L14" s="17"/>
    </row>
    <row r="15" spans="1:12" s="16" customFormat="1" ht="32.25" customHeight="1" x14ac:dyDescent="0.2">
      <c r="A15" s="24" t="s">
        <v>10</v>
      </c>
      <c r="B15" s="14" t="s">
        <v>2</v>
      </c>
      <c r="C15" s="6">
        <f>370000000/1.95583</f>
        <v>189177996.04260084</v>
      </c>
      <c r="D15" s="6">
        <v>0</v>
      </c>
      <c r="E15" s="6">
        <f t="shared" si="0"/>
        <v>189177996.04260084</v>
      </c>
      <c r="F15" s="43"/>
      <c r="G15" s="2">
        <v>0</v>
      </c>
      <c r="H15" s="2">
        <v>0</v>
      </c>
      <c r="I15" s="2">
        <v>0</v>
      </c>
      <c r="J15" s="1"/>
      <c r="K15" s="1"/>
    </row>
    <row r="16" spans="1:12" s="16" customFormat="1" ht="32.25" customHeight="1" x14ac:dyDescent="0.2">
      <c r="A16" s="24" t="s">
        <v>34</v>
      </c>
      <c r="B16" s="14" t="s">
        <v>2</v>
      </c>
      <c r="C16" s="6">
        <f>668894000/1.95583</f>
        <v>342000071.58086336</v>
      </c>
      <c r="D16" s="6">
        <v>0</v>
      </c>
      <c r="E16" s="6">
        <f t="shared" si="0"/>
        <v>342000071.58086336</v>
      </c>
      <c r="F16" s="43"/>
      <c r="G16" s="2">
        <v>0</v>
      </c>
      <c r="H16" s="2">
        <v>0</v>
      </c>
      <c r="I16" s="2">
        <v>0</v>
      </c>
      <c r="J16" s="1"/>
      <c r="K16" s="1"/>
    </row>
    <row r="17" spans="1:13" s="16" customFormat="1" ht="32.25" customHeight="1" x14ac:dyDescent="0.2">
      <c r="A17" s="24" t="s">
        <v>41</v>
      </c>
      <c r="B17" s="14" t="s">
        <v>2</v>
      </c>
      <c r="C17" s="6">
        <f>343052582/1.95583</f>
        <v>175400000</v>
      </c>
      <c r="D17" s="6">
        <v>0</v>
      </c>
      <c r="E17" s="6">
        <f t="shared" si="0"/>
        <v>175400000</v>
      </c>
      <c r="F17" s="43"/>
      <c r="G17" s="2">
        <v>0</v>
      </c>
      <c r="H17" s="2">
        <v>0</v>
      </c>
      <c r="I17" s="2">
        <v>0</v>
      </c>
      <c r="J17" s="1"/>
      <c r="K17" s="1"/>
    </row>
    <row r="18" spans="1:13" s="16" customFormat="1" ht="32.25" customHeight="1" x14ac:dyDescent="0.2">
      <c r="A18" s="24" t="s">
        <v>35</v>
      </c>
      <c r="B18" s="14" t="s">
        <v>2</v>
      </c>
      <c r="C18" s="6">
        <f>1562815420/1.95583</f>
        <v>799054836.05425835</v>
      </c>
      <c r="D18" s="6">
        <v>0</v>
      </c>
      <c r="E18" s="6">
        <f t="shared" si="0"/>
        <v>799054836.05425835</v>
      </c>
      <c r="F18" s="43"/>
      <c r="G18" s="2">
        <v>0</v>
      </c>
      <c r="H18" s="2">
        <v>0</v>
      </c>
      <c r="I18" s="2">
        <v>0</v>
      </c>
      <c r="J18" s="1"/>
      <c r="K18" s="1"/>
    </row>
    <row r="19" spans="1:13" ht="29.25" customHeight="1" x14ac:dyDescent="0.25">
      <c r="A19" s="24" t="s">
        <v>8</v>
      </c>
      <c r="B19" s="14" t="s">
        <v>2</v>
      </c>
      <c r="C19" s="6">
        <f>124500044/1.95583</f>
        <v>63655861.705771975</v>
      </c>
      <c r="D19" s="6">
        <f>24900008.8/1.95583</f>
        <v>12731172.341154395</v>
      </c>
      <c r="E19" s="6">
        <f t="shared" ref="E19:E39" si="1">C19+D19</f>
        <v>76387034.046926364</v>
      </c>
      <c r="F19" s="43"/>
      <c r="G19" s="2">
        <f>(27101419.25/1.95583)+(3988697.25/1.95583)</f>
        <v>15896124.151894592</v>
      </c>
      <c r="H19" s="2">
        <f>(5420283.85/1.95583)+(797739.45/1.95583)</f>
        <v>3179224.8303789184</v>
      </c>
      <c r="I19" s="2">
        <f>+G19+H19</f>
        <v>19075348.982273512</v>
      </c>
      <c r="J19" s="27"/>
      <c r="K19" s="1"/>
    </row>
    <row r="20" spans="1:13" ht="29.25" customHeight="1" x14ac:dyDescent="0.25">
      <c r="A20" s="24" t="s">
        <v>29</v>
      </c>
      <c r="B20" s="14" t="s">
        <v>2</v>
      </c>
      <c r="C20" s="6">
        <f>205860112/1.95583</f>
        <v>105254603.92774424</v>
      </c>
      <c r="D20" s="6">
        <f>0/1.95583</f>
        <v>0</v>
      </c>
      <c r="E20" s="6">
        <f t="shared" si="1"/>
        <v>105254603.92774424</v>
      </c>
      <c r="F20" s="43"/>
      <c r="G20" s="2">
        <v>0</v>
      </c>
      <c r="H20" s="2">
        <v>0</v>
      </c>
      <c r="I20" s="2">
        <v>0</v>
      </c>
      <c r="J20" s="1"/>
      <c r="K20" s="1"/>
    </row>
    <row r="21" spans="1:13" ht="29.25" customHeight="1" x14ac:dyDescent="0.25">
      <c r="A21" s="24" t="s">
        <v>30</v>
      </c>
      <c r="B21" s="14" t="s">
        <v>2</v>
      </c>
      <c r="C21" s="6">
        <f>44157018/1.95583</f>
        <v>22577124.801235281</v>
      </c>
      <c r="D21" s="6">
        <f>7792415/1.95583</f>
        <v>3984198.5244116308</v>
      </c>
      <c r="E21" s="6">
        <f t="shared" si="1"/>
        <v>26561323.325646911</v>
      </c>
      <c r="F21" s="43"/>
      <c r="G21" s="2">
        <v>0</v>
      </c>
      <c r="H21" s="2">
        <v>0</v>
      </c>
      <c r="I21" s="2">
        <v>0</v>
      </c>
      <c r="J21" s="1"/>
      <c r="K21" s="1"/>
    </row>
    <row r="22" spans="1:13" ht="29.25" customHeight="1" x14ac:dyDescent="0.25">
      <c r="A22" s="24" t="s">
        <v>11</v>
      </c>
      <c r="B22" s="14" t="s">
        <v>2</v>
      </c>
      <c r="C22" s="6">
        <f>217465416.38/1.95583</f>
        <v>111188301.83604914</v>
      </c>
      <c r="D22" s="6">
        <v>0</v>
      </c>
      <c r="E22" s="6">
        <f t="shared" si="1"/>
        <v>111188301.83604914</v>
      </c>
      <c r="F22" s="43"/>
      <c r="G22" s="2">
        <f>(25185637.31/1.95583)+(15003718.94/1.95583)+(2868040.65/1.95583)+(3261293.23/1.95583)+(1578127.98/1.95583)+(1970187.97/1.95583)+(1765148.79/1.95583)+(1697194.18/1.95583)+(2135649.37/1.95583)</f>
        <v>28358803.382707085</v>
      </c>
      <c r="H22" s="2">
        <v>0</v>
      </c>
      <c r="I22" s="2">
        <f>+G22+H22</f>
        <v>28358803.382707085</v>
      </c>
      <c r="J22" s="1"/>
      <c r="K22" s="1"/>
    </row>
    <row r="23" spans="1:13" ht="29.25" customHeight="1" x14ac:dyDescent="0.25">
      <c r="A23" s="24" t="s">
        <v>27</v>
      </c>
      <c r="B23" s="14" t="s">
        <v>2</v>
      </c>
      <c r="C23" s="6">
        <f>28777556.25/1.95583</f>
        <v>14713730.871292494</v>
      </c>
      <c r="D23" s="6">
        <f>5689511.25/1.95583</f>
        <v>2909000.9100995488</v>
      </c>
      <c r="E23" s="6">
        <f t="shared" si="1"/>
        <v>17622731.781392042</v>
      </c>
      <c r="F23" s="43"/>
      <c r="G23" s="2">
        <v>0</v>
      </c>
      <c r="H23" s="2">
        <v>0</v>
      </c>
      <c r="I23" s="2">
        <v>0</v>
      </c>
      <c r="J23" s="1"/>
      <c r="K23" s="1"/>
    </row>
    <row r="24" spans="1:13" s="16" customFormat="1" ht="29.25" customHeight="1" x14ac:dyDescent="0.2">
      <c r="A24" s="25" t="s">
        <v>13</v>
      </c>
      <c r="B24" s="14" t="s">
        <v>2</v>
      </c>
      <c r="C24" s="6">
        <f>80206551.91/1.95583</f>
        <v>41008958.810326047</v>
      </c>
      <c r="D24" s="6">
        <f>15954418.52/1.95583</f>
        <v>8157364.6584825879</v>
      </c>
      <c r="E24" s="6">
        <f t="shared" si="1"/>
        <v>49166323.468808636</v>
      </c>
      <c r="F24" s="43"/>
      <c r="G24" s="2">
        <v>0</v>
      </c>
      <c r="H24" s="2">
        <v>0</v>
      </c>
      <c r="I24" s="2">
        <v>0</v>
      </c>
      <c r="J24" s="1"/>
      <c r="K24" s="1"/>
    </row>
    <row r="25" spans="1:13" s="16" customFormat="1" ht="29.25" customHeight="1" x14ac:dyDescent="0.2">
      <c r="A25" s="25" t="s">
        <v>46</v>
      </c>
      <c r="B25" s="14" t="s">
        <v>2</v>
      </c>
      <c r="C25" s="6">
        <f>1615651/1.95583</f>
        <v>826069.23914655158</v>
      </c>
      <c r="D25" s="6">
        <f>323130.2/1.95583</f>
        <v>165213.84782931034</v>
      </c>
      <c r="E25" s="6">
        <f t="shared" si="1"/>
        <v>991283.08697586192</v>
      </c>
      <c r="F25" s="43"/>
      <c r="G25" s="2">
        <v>0</v>
      </c>
      <c r="H25" s="2">
        <v>0</v>
      </c>
      <c r="I25" s="2">
        <v>0</v>
      </c>
      <c r="J25" s="1"/>
      <c r="K25" s="1"/>
    </row>
    <row r="26" spans="1:13" s="16" customFormat="1" ht="29.25" customHeight="1" x14ac:dyDescent="0.2">
      <c r="A26" s="25" t="s">
        <v>39</v>
      </c>
      <c r="B26" s="14" t="s">
        <v>2</v>
      </c>
      <c r="C26" s="6">
        <f>7790000/1.95583</f>
        <v>3982963.754518542</v>
      </c>
      <c r="D26" s="6">
        <f>1558000/1.95583</f>
        <v>796592.75090370839</v>
      </c>
      <c r="E26" s="6">
        <f t="shared" si="1"/>
        <v>4779556.5054222504</v>
      </c>
      <c r="F26" s="43"/>
      <c r="G26" s="2">
        <v>0</v>
      </c>
      <c r="H26" s="2">
        <v>0</v>
      </c>
      <c r="I26" s="2">
        <v>0</v>
      </c>
      <c r="J26" s="1"/>
      <c r="K26" s="1"/>
    </row>
    <row r="27" spans="1:13" s="16" customFormat="1" ht="29.25" customHeight="1" x14ac:dyDescent="0.2">
      <c r="A27" s="25" t="s">
        <v>38</v>
      </c>
      <c r="B27" s="14" t="s">
        <v>2</v>
      </c>
      <c r="C27" s="6">
        <f>2927000/1.95583</f>
        <v>1496551.3362613316</v>
      </c>
      <c r="D27" s="6">
        <f>585000/1.95583</f>
        <v>299105.7504997878</v>
      </c>
      <c r="E27" s="6">
        <f t="shared" si="1"/>
        <v>1795657.0867611193</v>
      </c>
      <c r="F27" s="43"/>
      <c r="G27" s="2">
        <v>0</v>
      </c>
      <c r="H27" s="2">
        <v>0</v>
      </c>
      <c r="I27" s="2">
        <v>0</v>
      </c>
      <c r="J27" s="1"/>
      <c r="K27" s="1"/>
    </row>
    <row r="28" spans="1:13" ht="29.25" customHeight="1" x14ac:dyDescent="0.25">
      <c r="A28" s="24" t="s">
        <v>12</v>
      </c>
      <c r="B28" s="14" t="s">
        <v>2</v>
      </c>
      <c r="C28" s="6">
        <f>110619242/1.95583</f>
        <v>56558720.338679746</v>
      </c>
      <c r="D28" s="6">
        <f>22123848.4/1.95583</f>
        <v>11311744.067735948</v>
      </c>
      <c r="E28" s="6">
        <f t="shared" si="1"/>
        <v>67870464.406415701</v>
      </c>
      <c r="F28" s="43"/>
      <c r="G28" s="2">
        <v>0</v>
      </c>
      <c r="H28" s="2">
        <v>0</v>
      </c>
      <c r="I28" s="2">
        <v>0</v>
      </c>
      <c r="J28" s="1"/>
      <c r="K28" s="1"/>
      <c r="L28" s="17"/>
    </row>
    <row r="29" spans="1:13" ht="29.25" customHeight="1" x14ac:dyDescent="0.25">
      <c r="A29" s="24" t="s">
        <v>14</v>
      </c>
      <c r="B29" s="14" t="s">
        <v>2</v>
      </c>
      <c r="C29" s="6">
        <f>1433860/1.95583</f>
        <v>733120.97677200986</v>
      </c>
      <c r="D29" s="6">
        <f>270540/1.95583</f>
        <v>138324.90553882494</v>
      </c>
      <c r="E29" s="6">
        <f t="shared" si="1"/>
        <v>871445.88231083483</v>
      </c>
      <c r="F29" s="43"/>
      <c r="G29" s="2">
        <v>0</v>
      </c>
      <c r="H29" s="2">
        <v>0</v>
      </c>
      <c r="I29" s="2">
        <v>0</v>
      </c>
      <c r="J29" s="1"/>
      <c r="K29" s="1"/>
      <c r="L29" s="17"/>
    </row>
    <row r="30" spans="1:13" s="16" customFormat="1" ht="27.75" customHeight="1" x14ac:dyDescent="0.25">
      <c r="A30" s="24" t="s">
        <v>15</v>
      </c>
      <c r="B30" s="14" t="s">
        <v>2</v>
      </c>
      <c r="C30" s="6">
        <f>12386819.22/1.95583</f>
        <v>6333280.1010312764</v>
      </c>
      <c r="D30" s="6">
        <f>1400499/1.95583</f>
        <v>716063.76832342276</v>
      </c>
      <c r="E30" s="6">
        <f t="shared" si="1"/>
        <v>7049343.8693546988</v>
      </c>
      <c r="F30" s="43"/>
      <c r="G30" s="2">
        <f>(1128.7/1.95583)+(1283.33/1.95583)+(1425984/1.95583)+(135803.14/1.95583)+(4086.83/1.95583)+(9350.57/1.95583)+(9527.11/1.95583)+(26664/1.95583)+(14236.75/1.95583)+(14829.55/1.95583)</f>
        <v>839998.35364014248</v>
      </c>
      <c r="H30" s="2">
        <f>(26664/1.95583)+(285196.8/1.95583)+(5332.8/1.95583)</f>
        <v>162178.51244740083</v>
      </c>
      <c r="I30" s="6">
        <f>+G30+H30</f>
        <v>1002176.8660875433</v>
      </c>
      <c r="J30" s="27"/>
      <c r="K30" s="1"/>
      <c r="L30" s="17"/>
    </row>
    <row r="31" spans="1:13" s="18" customFormat="1" ht="29.25" customHeight="1" x14ac:dyDescent="0.25">
      <c r="A31" s="24" t="s">
        <v>16</v>
      </c>
      <c r="B31" s="14" t="s">
        <v>2</v>
      </c>
      <c r="C31" s="6">
        <f>19999824.76/1.95583</f>
        <v>10225748.025135109</v>
      </c>
      <c r="D31" s="6">
        <f>4000175.25/1.95583</f>
        <v>2045257.1286870537</v>
      </c>
      <c r="E31" s="6">
        <f t="shared" si="1"/>
        <v>12271005.153822163</v>
      </c>
      <c r="F31" s="43"/>
      <c r="G31" s="2">
        <f>(29900/1.95583)</f>
        <v>15287.627247766934</v>
      </c>
      <c r="H31" s="2">
        <f>(5980/1.95583)</f>
        <v>3057.5254495533868</v>
      </c>
      <c r="I31" s="6">
        <f>+G31+H31</f>
        <v>18345.152697320322</v>
      </c>
      <c r="J31" s="27"/>
      <c r="K31" s="1"/>
      <c r="L31" s="17"/>
    </row>
    <row r="32" spans="1:13" s="18" customFormat="1" ht="29.25" customHeight="1" x14ac:dyDescent="0.25">
      <c r="A32" s="26" t="s">
        <v>17</v>
      </c>
      <c r="B32" s="14" t="s">
        <v>2</v>
      </c>
      <c r="C32" s="6">
        <f>24094821.62/1.95583</f>
        <v>12319486.673177117</v>
      </c>
      <c r="D32" s="6">
        <f>2564922.98/1.95583</f>
        <v>1311424.2955676108</v>
      </c>
      <c r="E32" s="6">
        <f t="shared" si="1"/>
        <v>13630910.968744729</v>
      </c>
      <c r="F32" s="43"/>
      <c r="G32" s="2">
        <v>0</v>
      </c>
      <c r="H32" s="2">
        <v>0</v>
      </c>
      <c r="I32" s="6">
        <f t="shared" ref="I32:I39" si="2">+G32+H32</f>
        <v>0</v>
      </c>
      <c r="J32" s="1"/>
      <c r="K32" s="1"/>
      <c r="L32" s="17"/>
      <c r="M32" s="20"/>
    </row>
    <row r="33" spans="1:13" s="18" customFormat="1" ht="29.25" customHeight="1" x14ac:dyDescent="0.25">
      <c r="A33" s="26" t="s">
        <v>42</v>
      </c>
      <c r="B33" s="14" t="s">
        <v>2</v>
      </c>
      <c r="C33" s="6">
        <f>78523000/1.95583</f>
        <v>40148172.387170665</v>
      </c>
      <c r="D33" s="6">
        <v>0</v>
      </c>
      <c r="E33" s="6">
        <f t="shared" si="1"/>
        <v>40148172.387170665</v>
      </c>
      <c r="F33" s="43"/>
      <c r="G33" s="2">
        <v>0</v>
      </c>
      <c r="H33" s="2">
        <v>0</v>
      </c>
      <c r="I33" s="6">
        <f t="shared" si="2"/>
        <v>0</v>
      </c>
      <c r="J33" s="1"/>
      <c r="K33" s="1"/>
      <c r="L33" s="17"/>
      <c r="M33" s="20"/>
    </row>
    <row r="34" spans="1:13" s="18" customFormat="1" ht="28.5" customHeight="1" x14ac:dyDescent="0.25">
      <c r="A34" s="24" t="s">
        <v>18</v>
      </c>
      <c r="B34" s="14" t="s">
        <v>2</v>
      </c>
      <c r="C34" s="6">
        <f>349127762.68/1.95583</f>
        <v>178506190.55848414</v>
      </c>
      <c r="D34" s="6">
        <f>69825552.53/1.95583</f>
        <v>35701238.108629078</v>
      </c>
      <c r="E34" s="6">
        <f t="shared" si="1"/>
        <v>214207428.66711321</v>
      </c>
      <c r="F34" s="43"/>
      <c r="G34" s="2">
        <v>0</v>
      </c>
      <c r="H34" s="2">
        <v>0</v>
      </c>
      <c r="I34" s="6">
        <f t="shared" si="2"/>
        <v>0</v>
      </c>
      <c r="J34" s="1"/>
      <c r="K34" s="1"/>
      <c r="L34" s="17"/>
    </row>
    <row r="35" spans="1:13" s="18" customFormat="1" ht="29.25" customHeight="1" x14ac:dyDescent="0.25">
      <c r="A35" s="22" t="s">
        <v>19</v>
      </c>
      <c r="B35" s="14" t="s">
        <v>2</v>
      </c>
      <c r="C35" s="6">
        <f>107114950.17/1.95583</f>
        <v>54767004.376658507</v>
      </c>
      <c r="D35" s="6">
        <f>21422990.03/1.95583</f>
        <v>10953400.873286534</v>
      </c>
      <c r="E35" s="6">
        <f t="shared" si="1"/>
        <v>65720405.249945045</v>
      </c>
      <c r="F35" s="43"/>
      <c r="G35" s="2">
        <v>0</v>
      </c>
      <c r="H35" s="2">
        <v>0</v>
      </c>
      <c r="I35" s="6">
        <f t="shared" si="2"/>
        <v>0</v>
      </c>
      <c r="J35" s="1"/>
      <c r="K35" s="1"/>
      <c r="L35" s="17"/>
    </row>
    <row r="36" spans="1:13" s="18" customFormat="1" ht="29.25" customHeight="1" x14ac:dyDescent="0.25">
      <c r="A36" s="24" t="s">
        <v>20</v>
      </c>
      <c r="B36" s="14" t="s">
        <v>2</v>
      </c>
      <c r="C36" s="6">
        <f>23768000/1.95583</f>
        <v>12152385.432271721</v>
      </c>
      <c r="D36" s="6">
        <f>4713000/1.95583</f>
        <v>2409718.6360777779</v>
      </c>
      <c r="E36" s="6">
        <f t="shared" si="1"/>
        <v>14562104.068349499</v>
      </c>
      <c r="F36" s="43"/>
      <c r="G36" s="2">
        <v>0</v>
      </c>
      <c r="H36" s="2">
        <v>0</v>
      </c>
      <c r="I36" s="6">
        <f t="shared" si="2"/>
        <v>0</v>
      </c>
      <c r="J36" s="1"/>
      <c r="K36" s="1"/>
      <c r="L36" s="17"/>
    </row>
    <row r="37" spans="1:13" s="18" customFormat="1" ht="28.5" customHeight="1" x14ac:dyDescent="0.25">
      <c r="A37" s="24" t="s">
        <v>21</v>
      </c>
      <c r="B37" s="14" t="s">
        <v>2</v>
      </c>
      <c r="C37" s="6">
        <f>99317527.08/1.95583</f>
        <v>50780245.256489575</v>
      </c>
      <c r="D37" s="6">
        <f>19863505.42/1.95583</f>
        <v>10156049.053343084</v>
      </c>
      <c r="E37" s="6">
        <f t="shared" si="1"/>
        <v>60936294.309832662</v>
      </c>
      <c r="F37" s="43"/>
      <c r="G37" s="2">
        <f>(30130864.83/1.95583)</f>
        <v>15405666.560999677</v>
      </c>
      <c r="H37" s="2">
        <v>0</v>
      </c>
      <c r="I37" s="6">
        <f t="shared" si="2"/>
        <v>15405666.560999677</v>
      </c>
      <c r="J37" s="1"/>
      <c r="K37" s="1"/>
      <c r="L37" s="17"/>
    </row>
    <row r="38" spans="1:13" s="18" customFormat="1" ht="28.5" customHeight="1" x14ac:dyDescent="0.25">
      <c r="A38" s="24" t="s">
        <v>36</v>
      </c>
      <c r="B38" s="14" t="s">
        <v>2</v>
      </c>
      <c r="C38" s="6">
        <f>23566751/1.95583</f>
        <v>12049488.452472864</v>
      </c>
      <c r="D38" s="6">
        <f>4713350/1.95583</f>
        <v>2409897.5882361964</v>
      </c>
      <c r="E38" s="6">
        <f t="shared" si="1"/>
        <v>14459386.04070906</v>
      </c>
      <c r="F38" s="43"/>
      <c r="G38" s="2">
        <v>0</v>
      </c>
      <c r="H38" s="2">
        <v>0</v>
      </c>
      <c r="I38" s="6">
        <f t="shared" si="2"/>
        <v>0</v>
      </c>
      <c r="J38" s="1"/>
      <c r="K38" s="1"/>
      <c r="L38" s="17"/>
    </row>
    <row r="39" spans="1:13" s="18" customFormat="1" ht="28.5" customHeight="1" x14ac:dyDescent="0.25">
      <c r="A39" s="24" t="s">
        <v>22</v>
      </c>
      <c r="B39" s="14" t="s">
        <v>2</v>
      </c>
      <c r="C39" s="6">
        <f>46653873.14/1.95583</f>
        <v>23853746.562840328</v>
      </c>
      <c r="D39" s="6">
        <f>9330774.63/1.95583</f>
        <v>4770749.3135906504</v>
      </c>
      <c r="E39" s="6">
        <f t="shared" si="1"/>
        <v>28624495.876430977</v>
      </c>
      <c r="F39" s="44"/>
      <c r="G39" s="2">
        <v>0</v>
      </c>
      <c r="H39" s="2">
        <v>0</v>
      </c>
      <c r="I39" s="6">
        <f t="shared" si="2"/>
        <v>0</v>
      </c>
      <c r="J39" s="1"/>
      <c r="K39" s="1"/>
      <c r="L39" s="17"/>
    </row>
    <row r="40" spans="1:13" s="16" customFormat="1" ht="36" customHeight="1" x14ac:dyDescent="0.25">
      <c r="A40" s="33" t="s">
        <v>3</v>
      </c>
      <c r="B40" s="34"/>
      <c r="C40" s="6">
        <f t="shared" ref="C40:H40" si="3">SUM(C5:C39)</f>
        <v>4825650889.9393091</v>
      </c>
      <c r="D40" s="6">
        <f t="shared" si="3"/>
        <v>400534925.44341785</v>
      </c>
      <c r="E40" s="6">
        <f>SUM(E5:E39)</f>
        <v>5226185815.3827267</v>
      </c>
      <c r="F40" s="6">
        <f t="shared" si="3"/>
        <v>1368912911</v>
      </c>
      <c r="G40" s="6">
        <f t="shared" si="3"/>
        <v>60515880.076489255</v>
      </c>
      <c r="H40" s="6">
        <f t="shared" si="3"/>
        <v>3344460.8682758729</v>
      </c>
      <c r="I40" s="6">
        <f t="shared" ref="I40" si="4">SUM(I5:I39)</f>
        <v>63860340.944765128</v>
      </c>
      <c r="J40" s="1"/>
      <c r="K40" s="1"/>
      <c r="L40" s="5"/>
    </row>
    <row r="41" spans="1:13" s="16" customFormat="1" ht="36" customHeight="1" x14ac:dyDescent="0.2">
      <c r="A41" s="11"/>
      <c r="B41" s="11"/>
      <c r="C41" s="3"/>
      <c r="D41" s="3"/>
      <c r="E41" s="3"/>
      <c r="F41" s="3"/>
      <c r="G41" s="3"/>
      <c r="H41" s="3"/>
      <c r="I41" s="3"/>
      <c r="J41" s="12"/>
      <c r="K41" s="15"/>
    </row>
    <row r="42" spans="1:13" s="16" customFormat="1" ht="29.25" customHeight="1" x14ac:dyDescent="0.2">
      <c r="A42" s="11"/>
      <c r="B42" s="11"/>
      <c r="C42" s="7"/>
      <c r="D42" s="7"/>
      <c r="E42" s="7"/>
      <c r="F42" s="7"/>
      <c r="G42" s="7"/>
      <c r="H42" s="7"/>
      <c r="I42" s="7"/>
      <c r="J42" s="7">
        <f t="shared" ref="J42" si="5">J40-J41</f>
        <v>0</v>
      </c>
      <c r="K42" s="15"/>
    </row>
    <row r="43" spans="1:13" s="16" customFormat="1" ht="29.25" customHeight="1" x14ac:dyDescent="0.2">
      <c r="A43" s="11"/>
      <c r="B43" s="11"/>
      <c r="C43" s="19"/>
      <c r="D43" s="19"/>
      <c r="E43" s="19"/>
      <c r="F43" s="19"/>
      <c r="G43" s="19"/>
      <c r="H43" s="19"/>
      <c r="I43" s="19"/>
    </row>
    <row r="44" spans="1:13" s="16" customFormat="1" ht="29.25" customHeight="1" x14ac:dyDescent="0.2">
      <c r="A44" s="11"/>
      <c r="B44" s="11"/>
      <c r="C44" s="7"/>
      <c r="D44" s="7"/>
      <c r="E44" s="7"/>
      <c r="F44" s="7"/>
      <c r="G44" s="7"/>
      <c r="H44" s="7"/>
      <c r="I44" s="7"/>
    </row>
    <row r="45" spans="1:13" s="16" customFormat="1" ht="29.25" customHeight="1" x14ac:dyDescent="0.2">
      <c r="A45" s="11"/>
      <c r="B45" s="11"/>
      <c r="C45" s="19"/>
      <c r="D45" s="3"/>
      <c r="E45" s="3"/>
      <c r="F45" s="3"/>
      <c r="G45" s="3"/>
      <c r="H45" s="3"/>
      <c r="I45" s="3"/>
    </row>
    <row r="46" spans="1:13" x14ac:dyDescent="0.25">
      <c r="B46" s="11"/>
      <c r="C46" s="19"/>
      <c r="D46" s="3"/>
      <c r="E46" s="3"/>
      <c r="F46" s="3"/>
      <c r="G46" s="4"/>
      <c r="H46" s="3"/>
      <c r="I46" s="3"/>
    </row>
    <row r="47" spans="1:13" x14ac:dyDescent="0.25">
      <c r="I47" s="10"/>
    </row>
    <row r="48" spans="1:13" x14ac:dyDescent="0.25">
      <c r="I48" s="10"/>
    </row>
    <row r="49" spans="2:9" x14ac:dyDescent="0.25">
      <c r="I49" s="10"/>
    </row>
    <row r="50" spans="2:9" x14ac:dyDescent="0.25">
      <c r="I50" s="10"/>
    </row>
    <row r="51" spans="2:9" x14ac:dyDescent="0.25">
      <c r="B51" s="5"/>
      <c r="C51" s="5"/>
      <c r="D51" s="5"/>
      <c r="E51" s="5"/>
      <c r="F51" s="5"/>
      <c r="I51" s="10"/>
    </row>
  </sheetData>
  <mergeCells count="10">
    <mergeCell ref="I2:I3"/>
    <mergeCell ref="A40:B40"/>
    <mergeCell ref="A2:A3"/>
    <mergeCell ref="B2:B3"/>
    <mergeCell ref="C2:C3"/>
    <mergeCell ref="D2:D3"/>
    <mergeCell ref="E2:E3"/>
    <mergeCell ref="G2:H2"/>
    <mergeCell ref="F2:F3"/>
    <mergeCell ref="F5:F39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38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Георги Церовски</cp:lastModifiedBy>
  <cp:lastPrinted>2023-03-17T09:44:19Z</cp:lastPrinted>
  <dcterms:created xsi:type="dcterms:W3CDTF">2007-11-29T09:10:22Z</dcterms:created>
  <dcterms:modified xsi:type="dcterms:W3CDTF">2023-05-17T13:14:43Z</dcterms:modified>
</cp:coreProperties>
</file>