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75" yWindow="9540" windowWidth="20085" windowHeight="568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6" i="5" l="1"/>
  <c r="L14" i="5"/>
  <c r="L10" i="5"/>
  <c r="L7" i="5"/>
  <c r="L6" i="5"/>
  <c r="L9" i="5"/>
  <c r="J19" i="5"/>
  <c r="I19" i="5"/>
  <c r="J18" i="5"/>
  <c r="I18" i="5" s="1"/>
  <c r="J16" i="5"/>
  <c r="I16" i="5" s="1"/>
  <c r="J13" i="5"/>
  <c r="I13" i="5" s="1"/>
  <c r="J12" i="5"/>
  <c r="I12" i="5" s="1"/>
  <c r="J10" i="5"/>
  <c r="I10" i="5"/>
  <c r="J9" i="5"/>
  <c r="I9" i="5"/>
  <c r="J7" i="5"/>
  <c r="I7" i="5" s="1"/>
  <c r="J6" i="5"/>
  <c r="I6" i="5"/>
  <c r="M19" i="5" l="1"/>
  <c r="M13" i="5"/>
  <c r="M18" i="5"/>
  <c r="M15" i="5"/>
  <c r="M14" i="5"/>
  <c r="M16" i="5"/>
  <c r="M10" i="5"/>
  <c r="M9" i="5"/>
  <c r="M7" i="5"/>
  <c r="M6" i="5"/>
  <c r="L19" i="5"/>
  <c r="L13" i="5"/>
  <c r="L18" i="5"/>
  <c r="L15" i="5"/>
  <c r="G12" i="5" l="1"/>
  <c r="G7" i="5"/>
  <c r="G6" i="5"/>
  <c r="L11" i="5" l="1"/>
  <c r="L5" i="5"/>
  <c r="K11" i="5"/>
  <c r="K8" i="5"/>
  <c r="K5" i="5"/>
  <c r="G13" i="5"/>
  <c r="L8" i="5" l="1"/>
  <c r="L20" i="5" s="1"/>
  <c r="H7" i="5" l="1"/>
  <c r="H6" i="5" l="1"/>
  <c r="H14" i="5" l="1"/>
  <c r="H19" i="5"/>
  <c r="H18" i="5"/>
  <c r="H17" i="5"/>
  <c r="H16" i="5"/>
  <c r="H15" i="5"/>
  <c r="H13" i="5"/>
  <c r="H12" i="5"/>
  <c r="H10" i="5"/>
  <c r="H9" i="5"/>
  <c r="H11" i="5" l="1"/>
  <c r="G11" i="5"/>
  <c r="M8" i="5"/>
  <c r="H8" i="5"/>
  <c r="G8" i="5"/>
  <c r="H5" i="5"/>
  <c r="G5" i="5"/>
  <c r="G20" i="5" l="1"/>
  <c r="H20" i="5"/>
  <c r="M11" i="5"/>
  <c r="M17" i="5" l="1"/>
  <c r="M5" i="5"/>
  <c r="M20" i="5" l="1"/>
  <c r="C18" i="5"/>
  <c r="D11" i="5" l="1"/>
  <c r="F11" i="5"/>
  <c r="D8" i="5"/>
  <c r="F8" i="5"/>
  <c r="F5" i="5"/>
  <c r="F20" i="5" l="1"/>
  <c r="E19" i="5"/>
  <c r="E18" i="5"/>
  <c r="E17" i="5"/>
  <c r="E16" i="5"/>
  <c r="E15" i="5"/>
  <c r="E13" i="5"/>
  <c r="E12" i="5"/>
  <c r="E11" i="5" s="1"/>
  <c r="C11" i="5"/>
  <c r="E10" i="5"/>
  <c r="E9" i="5"/>
  <c r="E8" i="5" s="1"/>
  <c r="C8" i="5"/>
  <c r="E6" i="5"/>
  <c r="E5" i="5" s="1"/>
  <c r="D5" i="5"/>
  <c r="D20" i="5" s="1"/>
  <c r="C5" i="5"/>
  <c r="C20" i="5" l="1"/>
  <c r="E20" i="5" s="1"/>
  <c r="J5" i="5"/>
  <c r="I5" i="5"/>
  <c r="I8" i="5"/>
  <c r="J8" i="5"/>
  <c r="I11" i="5"/>
  <c r="J11" i="5"/>
  <c r="I20" i="5" l="1"/>
  <c r="K20" i="5"/>
  <c r="J20" i="5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<sst xmlns="http://schemas.openxmlformats.org/spreadsheetml/2006/main" count="45" uniqueCount="28">
  <si>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</si>
  <si>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</si>
  <si>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</si>
  <si>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</si>
  <si>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</si>
  <si>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</si>
  <si>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</si>
  <si>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</si>
  <si>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</si>
  <si>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</si>
  <si>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</si>
  <si>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</si>
  <si>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</si>
  <si>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</si>
  <si>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</si>
  <si>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</si>
  <si>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</si>
  <si>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</si>
  <si>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</si>
  <si>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</si>
  <si>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</si>
  <si>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31.03.2020</t>
  </si>
  <si>
    <t>Получени средства от ЕК на основание изпратени заявления за плащане към 31.03.2020</t>
  </si>
  <si>
    <t>Общо получени средства от ЕК към 31.03.2020</t>
  </si>
  <si>
    <t>Платено към 31.03.2020</t>
  </si>
  <si>
    <t>Обща сума на публичните разходи, сертифицрани пред ЕК с Годишни счетоводни отчети 
към 31.03.2020</t>
  </si>
  <si>
    <t>Обща сума на публичните разходи, декларирани пред ЕК със Заявления за плащане 
към 31.03.2020</t>
  </si>
  <si>
    <t>Общо платено към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</si>
</sst>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168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9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 wrapText="1"/>
    </xf>
    <xf numFmtId="170" fontId="4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center" vertical="center"/>
    </xf>
    <xf numFmtId="171" fontId="3" fillId="0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1" xfId="1" applyNumberFormat="1" applyFont="1" applyFill="1" applyBorder="1" applyAlignment="1">
      <alignment vertical="center" wrapText="1"/>
    </xf>
    <xf numFmtId="172" fontId="5" fillId="2" borderId="1" xfId="1" applyNumberFormat="1" applyFont="1" applyFill="1" applyBorder="1" applyAlignment="1">
      <alignment horizontal="right" vertical="center"/>
    </xf>
    <xf numFmtId="170" fontId="7" fillId="2" borderId="1" xfId="0" applyNumberFormat="1" applyFont="1" applyFill="1" applyBorder="1" applyAlignment="1">
      <alignment horizontal="center" vertical="center"/>
    </xf>
    <xf numFmtId="170" fontId="4" fillId="2" borderId="1" xfId="1" applyNumberFormat="1" applyFont="1" applyFill="1" applyBorder="1" applyAlignment="1">
      <alignment horizontal="right" vertical="center"/>
    </xf>
    <xf numFmtId="170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 wrapText="1"/>
    </xf>
    <xf numFmtId="170" fontId="7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167" fontId="8" fillId="2" borderId="1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966FF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80" zoomScaleNormal="9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2" sqref="L22"/>
    </sheetView>
  </sheetViews>
  <sheetFormatPr defaultColWidth="9.140625" defaultRowHeight="15" outlineLevelRow="1" x14ac:dyDescent="0.25"/>
  <cols>
    <col min="1" max="1" width="43" style="3" customWidth="1"/>
    <col min="2" max="2" width="7.85546875" style="2" customWidth="1"/>
    <col min="3" max="3" width="23.28515625" style="2" customWidth="1"/>
    <col min="4" max="4" width="18.140625" style="2" customWidth="1"/>
    <col min="5" max="5" width="17.5703125" style="2" customWidth="1"/>
    <col min="6" max="6" width="20.140625" style="2" customWidth="1"/>
    <col min="7" max="7" width="18.140625" style="2" customWidth="1"/>
    <col min="8" max="8" width="19.42578125" style="2" customWidth="1"/>
    <col min="9" max="9" width="17.42578125" style="40" customWidth="1"/>
    <col min="10" max="10" width="17.140625" style="40" customWidth="1"/>
    <col min="11" max="11" width="18.28515625" style="3" customWidth="1"/>
    <col min="12" max="12" width="27" style="3" customWidth="1"/>
    <col min="13" max="13" width="23.5703125" style="3" customWidth="1"/>
    <col min="14" max="14" width="28.42578125" style="3" customWidth="1"/>
    <col min="15" max="15" width="30.28515625" style="3" customWidth="1"/>
    <col min="16" max="16" width="19.7109375" style="3" customWidth="1"/>
    <col min="17" max="17" width="16.28515625" style="3" customWidth="1"/>
    <col min="18" max="18" width="14.5703125" style="3" customWidth="1"/>
    <col min="19" max="16384" width="9.140625" style="3"/>
  </cols>
  <sheetData>
    <row r="1" spans="1:20" s="7" customFormat="1" ht="11.25" customHeight="1" x14ac:dyDescent="0.2">
      <c r="A1" s="6"/>
      <c r="B1" s="6"/>
      <c r="C1" s="23"/>
      <c r="D1" s="23"/>
      <c r="E1" s="23"/>
      <c r="F1" s="23"/>
      <c r="G1" s="23"/>
      <c r="H1" s="23"/>
      <c r="I1" s="31"/>
      <c r="J1" s="31"/>
    </row>
    <row r="2" spans="1:20" s="8" customFormat="1" ht="12.75" customHeight="1" x14ac:dyDescent="0.2">
      <c r="A2" s="59" t="s">
        <v>0</v>
      </c>
      <c r="B2" s="59" t="s">
        <v>1</v>
      </c>
      <c r="C2" s="53" t="s">
        <v>18</v>
      </c>
      <c r="D2" s="62" t="s">
        <v>19</v>
      </c>
      <c r="E2" s="53" t="s">
        <v>20</v>
      </c>
      <c r="F2" s="53" t="s">
        <v>21</v>
      </c>
      <c r="G2" s="53" t="s">
        <v>22</v>
      </c>
      <c r="H2" s="53" t="s">
        <v>23</v>
      </c>
      <c r="I2" s="64" t="s">
        <v>24</v>
      </c>
      <c r="J2" s="65"/>
      <c r="K2" s="53" t="s">
        <v>27</v>
      </c>
      <c r="L2" s="55" t="s">
        <v>26</v>
      </c>
      <c r="M2" s="53" t="s">
        <v>25</v>
      </c>
    </row>
    <row r="3" spans="1:20" s="8" customFormat="1" ht="84.75" customHeight="1" x14ac:dyDescent="0.2">
      <c r="A3" s="60"/>
      <c r="B3" s="60"/>
      <c r="C3" s="61"/>
      <c r="D3" s="63"/>
      <c r="E3" s="61"/>
      <c r="F3" s="61"/>
      <c r="G3" s="61"/>
      <c r="H3" s="61"/>
      <c r="I3" s="32" t="s">
        <v>2</v>
      </c>
      <c r="J3" s="32" t="s">
        <v>5</v>
      </c>
      <c r="K3" s="54"/>
      <c r="L3" s="56"/>
      <c r="M3" s="54"/>
    </row>
    <row r="4" spans="1:20" s="8" customFormat="1" ht="18.75" customHeight="1" x14ac:dyDescent="0.2">
      <c r="A4" s="9">
        <v>1</v>
      </c>
      <c r="B4" s="22">
        <v>2</v>
      </c>
      <c r="C4" s="24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33">
        <v>9</v>
      </c>
      <c r="J4" s="34">
        <v>10</v>
      </c>
      <c r="K4" s="24">
        <v>11</v>
      </c>
      <c r="L4" s="34">
        <v>12</v>
      </c>
      <c r="M4" s="24">
        <v>13</v>
      </c>
    </row>
    <row r="5" spans="1:20" s="13" customFormat="1" ht="29.25" customHeight="1" x14ac:dyDescent="0.2">
      <c r="A5" s="10" t="s">
        <v>6</v>
      </c>
      <c r="B5" s="11" t="s">
        <v>3</v>
      </c>
      <c r="C5" s="25">
        <f>C6+C7</f>
        <v>1604449168</v>
      </c>
      <c r="D5" s="25">
        <f>D6+D7</f>
        <v>283138092</v>
      </c>
      <c r="E5" s="25">
        <f t="shared" ref="E5:M5" si="0">E6+E7</f>
        <v>1887587260</v>
      </c>
      <c r="F5" s="35">
        <f t="shared" si="0"/>
        <v>134588969.47999999</v>
      </c>
      <c r="G5" s="35">
        <f t="shared" si="0"/>
        <v>452816575.35000002</v>
      </c>
      <c r="H5" s="35">
        <f t="shared" si="0"/>
        <v>587405544.82999992</v>
      </c>
      <c r="I5" s="35">
        <f t="shared" si="0"/>
        <v>670987212.19846034</v>
      </c>
      <c r="J5" s="35">
        <f t="shared" si="0"/>
        <v>118409508.03502242</v>
      </c>
      <c r="K5" s="43">
        <f>K6+K7</f>
        <v>789396720.23348284</v>
      </c>
      <c r="L5" s="25">
        <f t="shared" ref="L5" si="1">L6+L7</f>
        <v>606289165.11932278</v>
      </c>
      <c r="M5" s="25">
        <f t="shared" si="0"/>
        <v>491591211.04954404</v>
      </c>
      <c r="N5" s="12"/>
      <c r="O5" s="12"/>
      <c r="P5" s="12"/>
      <c r="Q5" s="12"/>
    </row>
    <row r="6" spans="1:20" ht="29.25" customHeight="1" outlineLevel="1" x14ac:dyDescent="0.25">
      <c r="A6" s="14" t="s">
        <v>9</v>
      </c>
      <c r="B6" s="15" t="s">
        <v>3</v>
      </c>
      <c r="C6" s="41">
        <v>459761907</v>
      </c>
      <c r="D6" s="41">
        <v>81134456</v>
      </c>
      <c r="E6" s="36">
        <f>+C6+D6</f>
        <v>540896363</v>
      </c>
      <c r="F6" s="36">
        <v>45912458.84375</v>
      </c>
      <c r="G6" s="36">
        <f>218928923.24+12811688.24+10940186.05+8262308.47</f>
        <v>250943106.00000003</v>
      </c>
      <c r="H6" s="36">
        <f>F6+G6</f>
        <v>296855564.84375</v>
      </c>
      <c r="I6" s="45">
        <f>K6-J6</f>
        <v>327352624.20718473</v>
      </c>
      <c r="J6" s="46">
        <f>K6*15%</f>
        <v>57768110.15420907</v>
      </c>
      <c r="K6" s="45">
        <v>385120734.36139381</v>
      </c>
      <c r="L6" s="36">
        <f>327528552.336497-11053.16/1.9558+3054795.68/1.9558</f>
        <v>329084817.04659009</v>
      </c>
      <c r="M6" s="36">
        <f>98656531.13+138917563.52/1.9558+194121037.05/1.9558</f>
        <v>268939075.64886701</v>
      </c>
      <c r="N6" s="12"/>
      <c r="O6" s="12"/>
      <c r="P6" s="12"/>
      <c r="Q6" s="12"/>
      <c r="R6" s="16"/>
    </row>
    <row r="7" spans="1:20" ht="29.25" customHeight="1" outlineLevel="1" x14ac:dyDescent="0.25">
      <c r="A7" s="14" t="s">
        <v>10</v>
      </c>
      <c r="B7" s="15" t="s">
        <v>3</v>
      </c>
      <c r="C7" s="41">
        <v>1144687261</v>
      </c>
      <c r="D7" s="41">
        <v>202003636</v>
      </c>
      <c r="E7" s="36">
        <v>1346690897</v>
      </c>
      <c r="F7" s="36">
        <v>88676510.636249989</v>
      </c>
      <c r="G7" s="36">
        <f>176064173.58+7825488.07+143731.64+17840076.06</f>
        <v>201873469.34999999</v>
      </c>
      <c r="H7" s="36">
        <f>F7+G7</f>
        <v>290549979.98624998</v>
      </c>
      <c r="I7" s="45">
        <f t="shared" ref="I7" si="2">K7-J7</f>
        <v>343634587.99127567</v>
      </c>
      <c r="J7" s="46">
        <f>K7*15%</f>
        <v>60641397.880813353</v>
      </c>
      <c r="K7" s="45">
        <v>404275985.87208903</v>
      </c>
      <c r="L7" s="36">
        <f>261860030.908401-10698722.68/1.9558+40709138.19/1.9558</f>
        <v>277204348.07273275</v>
      </c>
      <c r="M7" s="36">
        <f>127901320.588324+185313643.61/1.9558</f>
        <v>222652135.40067703</v>
      </c>
      <c r="N7" s="12"/>
      <c r="O7" s="12"/>
      <c r="P7" s="12"/>
      <c r="Q7" s="12"/>
      <c r="R7" s="16"/>
    </row>
    <row r="8" spans="1:20" s="13" customFormat="1" ht="29.25" customHeight="1" x14ac:dyDescent="0.25">
      <c r="A8" s="10" t="s">
        <v>7</v>
      </c>
      <c r="B8" s="11" t="s">
        <v>3</v>
      </c>
      <c r="C8" s="25">
        <f>C9+C10</f>
        <v>1504824141</v>
      </c>
      <c r="D8" s="25">
        <f t="shared" ref="D8:M8" si="3">D9+D10</f>
        <v>265557204</v>
      </c>
      <c r="E8" s="25">
        <f t="shared" si="3"/>
        <v>1770381345</v>
      </c>
      <c r="F8" s="35">
        <f t="shared" si="3"/>
        <v>112382531.83125</v>
      </c>
      <c r="G8" s="35">
        <f t="shared" si="3"/>
        <v>296092265.68000001</v>
      </c>
      <c r="H8" s="35">
        <f t="shared" si="3"/>
        <v>408474797.51125002</v>
      </c>
      <c r="I8" s="35">
        <f t="shared" si="3"/>
        <v>417325998.05507672</v>
      </c>
      <c r="J8" s="35">
        <f t="shared" si="3"/>
        <v>73645764.362660587</v>
      </c>
      <c r="K8" s="43">
        <f t="shared" si="3"/>
        <v>490971762.41773731</v>
      </c>
      <c r="L8" s="35">
        <f t="shared" si="3"/>
        <v>417559671.77478421</v>
      </c>
      <c r="M8" s="25">
        <f t="shared" si="3"/>
        <v>262895987.11152267</v>
      </c>
      <c r="N8" s="12"/>
      <c r="O8" s="12"/>
      <c r="P8" s="12"/>
      <c r="Q8" s="12"/>
      <c r="R8" s="16"/>
    </row>
    <row r="9" spans="1:20" ht="29.25" customHeight="1" outlineLevel="1" x14ac:dyDescent="0.25">
      <c r="A9" s="14" t="s">
        <v>9</v>
      </c>
      <c r="B9" s="15" t="s">
        <v>3</v>
      </c>
      <c r="C9" s="26">
        <v>371204258</v>
      </c>
      <c r="D9" s="26">
        <v>65506635</v>
      </c>
      <c r="E9" s="27">
        <f t="shared" ref="E9:E10" si="4">+C9+D9</f>
        <v>436710893</v>
      </c>
      <c r="F9" s="52">
        <v>27014587.168749999</v>
      </c>
      <c r="G9" s="42">
        <v>62038636.43</v>
      </c>
      <c r="H9" s="36">
        <f>F9+G9</f>
        <v>89053223.598749995</v>
      </c>
      <c r="I9" s="45">
        <f t="shared" ref="I9:I10" si="5">K9-J9</f>
        <v>86177543.81694448</v>
      </c>
      <c r="J9" s="46">
        <f t="shared" ref="J9:J10" si="6">K9*15%</f>
        <v>15207801.850049024</v>
      </c>
      <c r="K9" s="45">
        <v>101385345.6669935</v>
      </c>
      <c r="L9" s="36">
        <f>80047700.2505542-2377.03/1.9558+2050327.82/1.9558</f>
        <v>81094816.924038202</v>
      </c>
      <c r="M9" s="36">
        <f>11106979.35+7752577.57/1.9558+94654229.76/1.9558</f>
        <v>63467551.663119957</v>
      </c>
      <c r="N9" s="12"/>
      <c r="O9" s="12"/>
      <c r="P9" s="12"/>
      <c r="Q9" s="12"/>
      <c r="R9" s="16"/>
      <c r="S9" s="17"/>
    </row>
    <row r="10" spans="1:20" ht="29.25" customHeight="1" outlineLevel="1" x14ac:dyDescent="0.25">
      <c r="A10" s="14" t="s">
        <v>10</v>
      </c>
      <c r="B10" s="15" t="s">
        <v>3</v>
      </c>
      <c r="C10" s="26">
        <v>1133619883</v>
      </c>
      <c r="D10" s="26">
        <v>200050569</v>
      </c>
      <c r="E10" s="27">
        <f t="shared" si="4"/>
        <v>1333670452</v>
      </c>
      <c r="F10" s="52">
        <v>85367944.662499994</v>
      </c>
      <c r="G10" s="42">
        <v>234053629.25</v>
      </c>
      <c r="H10" s="36">
        <f>F10+G10</f>
        <v>319421573.91250002</v>
      </c>
      <c r="I10" s="45">
        <f t="shared" si="5"/>
        <v>331148454.23813224</v>
      </c>
      <c r="J10" s="46">
        <f t="shared" si="6"/>
        <v>58437962.512611568</v>
      </c>
      <c r="K10" s="45">
        <v>389586416.75074381</v>
      </c>
      <c r="L10" s="36">
        <f>338447284.368079-5878901.72/1.9558+2001666.07/1.9558</f>
        <v>336464854.85074598</v>
      </c>
      <c r="M10" s="36">
        <f>23431712.67+115828724.3/1.9558+228385666.11/1.9558</f>
        <v>199428435.4484027</v>
      </c>
      <c r="N10" s="12"/>
      <c r="O10" s="12"/>
      <c r="P10" s="12"/>
      <c r="Q10" s="12"/>
      <c r="R10" s="16"/>
      <c r="S10" s="17"/>
    </row>
    <row r="11" spans="1:20" s="13" customFormat="1" ht="29.25" customHeight="1" x14ac:dyDescent="0.25">
      <c r="A11" s="10" t="s">
        <v>13</v>
      </c>
      <c r="B11" s="11" t="s">
        <v>3</v>
      </c>
      <c r="C11" s="25">
        <f>C12+C13</f>
        <v>552540872</v>
      </c>
      <c r="D11" s="25">
        <f t="shared" ref="D11:M11" si="7">D12+D13</f>
        <v>97507215</v>
      </c>
      <c r="E11" s="25">
        <f t="shared" si="7"/>
        <v>650048087</v>
      </c>
      <c r="F11" s="35">
        <f t="shared" si="7"/>
        <v>41681930.237500004</v>
      </c>
      <c r="G11" s="35">
        <f t="shared" si="7"/>
        <v>134087685.52000001</v>
      </c>
      <c r="H11" s="35">
        <f t="shared" si="7"/>
        <v>175769615.75749999</v>
      </c>
      <c r="I11" s="35">
        <f t="shared" si="7"/>
        <v>227545422.50766087</v>
      </c>
      <c r="J11" s="35">
        <f t="shared" si="7"/>
        <v>40155074.560175449</v>
      </c>
      <c r="K11" s="43">
        <f t="shared" si="7"/>
        <v>267700497.06783631</v>
      </c>
      <c r="L11" s="35">
        <f t="shared" si="7"/>
        <v>174494851.27780446</v>
      </c>
      <c r="M11" s="25">
        <f t="shared" si="7"/>
        <v>113182314.13743737</v>
      </c>
      <c r="N11" s="12"/>
      <c r="O11" s="12"/>
      <c r="P11" s="12"/>
      <c r="Q11" s="12"/>
      <c r="R11" s="16"/>
      <c r="S11" s="17"/>
    </row>
    <row r="12" spans="1:20" s="18" customFormat="1" ht="29.25" customHeight="1" x14ac:dyDescent="0.25">
      <c r="A12" s="14" t="s">
        <v>9</v>
      </c>
      <c r="B12" s="15" t="s">
        <v>3</v>
      </c>
      <c r="C12" s="41">
        <v>187926049</v>
      </c>
      <c r="D12" s="41">
        <v>33163421</v>
      </c>
      <c r="E12" s="27">
        <f t="shared" ref="E12:E20" si="8">+C12+D12</f>
        <v>221089470</v>
      </c>
      <c r="F12" s="36">
        <v>15085112.747500001</v>
      </c>
      <c r="G12" s="42">
        <f>10111846.86+13495545.5</f>
        <v>23607392.359999999</v>
      </c>
      <c r="H12" s="36">
        <f t="shared" ref="H12:H19" si="9">F12+G12</f>
        <v>38692505.107500002</v>
      </c>
      <c r="I12" s="45">
        <f t="shared" ref="I12:I13" si="10">K12-J12</f>
        <v>61159815.198664486</v>
      </c>
      <c r="J12" s="47">
        <f t="shared" ref="J12:J13" si="11">K12*15%</f>
        <v>10792908.564470204</v>
      </c>
      <c r="K12" s="45">
        <v>71952723.763134688</v>
      </c>
      <c r="L12" s="44">
        <v>30859336.48</v>
      </c>
      <c r="M12" s="28">
        <v>0</v>
      </c>
      <c r="N12" s="12"/>
      <c r="O12" s="12"/>
      <c r="P12" s="12"/>
      <c r="Q12" s="12"/>
      <c r="R12" s="16"/>
      <c r="S12" s="17"/>
    </row>
    <row r="13" spans="1:20" s="13" customFormat="1" ht="29.25" customHeight="1" x14ac:dyDescent="0.25">
      <c r="A13" s="14" t="s">
        <v>11</v>
      </c>
      <c r="B13" s="15" t="s">
        <v>3</v>
      </c>
      <c r="C13" s="41">
        <v>364614823</v>
      </c>
      <c r="D13" s="41">
        <v>64343794</v>
      </c>
      <c r="E13" s="27">
        <f t="shared" si="8"/>
        <v>428958617</v>
      </c>
      <c r="F13" s="36">
        <v>26596817.490000002</v>
      </c>
      <c r="G13" s="42">
        <f>87183594.78+1593236.14+3689375.84+5881245.76+12132840.64</f>
        <v>110480293.16000001</v>
      </c>
      <c r="H13" s="36">
        <f t="shared" si="9"/>
        <v>137077110.65000001</v>
      </c>
      <c r="I13" s="45">
        <f t="shared" si="10"/>
        <v>166385607.30899638</v>
      </c>
      <c r="J13" s="46">
        <f t="shared" si="11"/>
        <v>29362165.995705243</v>
      </c>
      <c r="K13" s="45">
        <v>195747773.30470163</v>
      </c>
      <c r="L13" s="36">
        <f>144387850.87-1471418.89/1.9558</f>
        <v>143635514.79780447</v>
      </c>
      <c r="M13" s="36">
        <f>50027085.65/1.9558+171334884.34/1.9558</f>
        <v>113182314.13743737</v>
      </c>
      <c r="N13" s="12"/>
      <c r="O13" s="12"/>
      <c r="P13" s="12"/>
      <c r="Q13" s="12"/>
      <c r="R13" s="16"/>
      <c r="S13" s="17"/>
      <c r="T13" s="19"/>
    </row>
    <row r="14" spans="1:20" s="18" customFormat="1" ht="29.25" customHeight="1" x14ac:dyDescent="0.25">
      <c r="A14" s="10" t="s">
        <v>12</v>
      </c>
      <c r="B14" s="11" t="s">
        <v>3</v>
      </c>
      <c r="C14" s="25">
        <v>1311704793</v>
      </c>
      <c r="D14" s="25">
        <v>231477320</v>
      </c>
      <c r="E14" s="25">
        <v>1543182113</v>
      </c>
      <c r="F14" s="51">
        <v>101502400.32625</v>
      </c>
      <c r="G14" s="35">
        <v>405911175.74000001</v>
      </c>
      <c r="H14" s="35">
        <f t="shared" si="9"/>
        <v>507413576.06625003</v>
      </c>
      <c r="I14" s="43">
        <v>707845840.12149024</v>
      </c>
      <c r="J14" s="48">
        <v>124913971.78614533</v>
      </c>
      <c r="K14" s="43">
        <v>832759811.90763557</v>
      </c>
      <c r="L14" s="35">
        <f>499768958.538666-3594588.73/1.9558+57033476.92/1.9558</f>
        <v>527092247.31563705</v>
      </c>
      <c r="M14" s="35">
        <f>56363297.09+162381786.29/1.9558+486355140.82/1.9558</f>
        <v>388062308.80387664</v>
      </c>
      <c r="N14" s="12"/>
      <c r="O14" s="12"/>
      <c r="P14" s="12"/>
      <c r="Q14" s="12"/>
      <c r="R14" s="16"/>
      <c r="S14" s="17"/>
    </row>
    <row r="15" spans="1:20" s="18" customFormat="1" ht="29.25" customHeight="1" x14ac:dyDescent="0.25">
      <c r="A15" s="20" t="s">
        <v>8</v>
      </c>
      <c r="B15" s="11" t="s">
        <v>3</v>
      </c>
      <c r="C15" s="25">
        <v>938665315</v>
      </c>
      <c r="D15" s="25">
        <v>153582762</v>
      </c>
      <c r="E15" s="25">
        <f t="shared" si="8"/>
        <v>1092248077</v>
      </c>
      <c r="F15" s="35">
        <v>90571495.789999992</v>
      </c>
      <c r="G15" s="35">
        <v>446135181.69</v>
      </c>
      <c r="H15" s="35">
        <f t="shared" si="9"/>
        <v>536706677.48000002</v>
      </c>
      <c r="I15" s="49">
        <v>561977974.80270743</v>
      </c>
      <c r="J15" s="49">
        <v>90462379.111795872</v>
      </c>
      <c r="K15" s="49">
        <v>652440353.91450322</v>
      </c>
      <c r="L15" s="35">
        <f>523788966.245254+100119913.14/1.9558-906603.22/1.9558</f>
        <v>574516704.21437156</v>
      </c>
      <c r="M15" s="35">
        <f>130663671.3+(219545983.91+36770765.1+364432880.68)/1.9558</f>
        <v>448052785.57037532</v>
      </c>
      <c r="N15" s="12"/>
      <c r="O15" s="12"/>
      <c r="P15" s="12"/>
      <c r="Q15" s="12"/>
      <c r="R15" s="16"/>
      <c r="S15" s="17"/>
    </row>
    <row r="16" spans="1:20" s="18" customFormat="1" ht="29.25" customHeight="1" x14ac:dyDescent="0.25">
      <c r="A16" s="10" t="s">
        <v>17</v>
      </c>
      <c r="B16" s="11" t="s">
        <v>3</v>
      </c>
      <c r="C16" s="25">
        <v>1123075325</v>
      </c>
      <c r="D16" s="25">
        <v>198189765</v>
      </c>
      <c r="E16" s="25">
        <f t="shared" si="8"/>
        <v>1321265090</v>
      </c>
      <c r="F16" s="35">
        <v>103838756.86625001</v>
      </c>
      <c r="G16" s="35">
        <v>461168330.03999996</v>
      </c>
      <c r="H16" s="35">
        <f t="shared" si="9"/>
        <v>565007086.90625</v>
      </c>
      <c r="I16" s="43">
        <f t="shared" ref="I16" si="12">K16-J16</f>
        <v>537671923.13956118</v>
      </c>
      <c r="J16" s="48">
        <f t="shared" ref="J16" si="13">15%*K16</f>
        <v>94883280.554040208</v>
      </c>
      <c r="K16" s="35">
        <v>632555203.69360137</v>
      </c>
      <c r="L16" s="35">
        <f>586124233.249821-12709758.23/1.9558-1125232.03/1.9558+24339649.35/1.9558</f>
        <v>591495262.54218209</v>
      </c>
      <c r="M16" s="35">
        <f>205479323.49+262668803.8/1.9558+344500954.8/1.9558</f>
        <v>515925053.42148584</v>
      </c>
      <c r="N16" s="12"/>
      <c r="O16" s="12"/>
      <c r="P16" s="12"/>
      <c r="Q16" s="12"/>
      <c r="R16" s="16"/>
      <c r="S16" s="17"/>
    </row>
    <row r="17" spans="1:19" s="18" customFormat="1" ht="29.25" customHeight="1" x14ac:dyDescent="0.25">
      <c r="A17" s="21" t="s">
        <v>14</v>
      </c>
      <c r="B17" s="11" t="s">
        <v>3</v>
      </c>
      <c r="C17" s="25">
        <v>102000000</v>
      </c>
      <c r="D17" s="25">
        <v>0</v>
      </c>
      <c r="E17" s="25">
        <f t="shared" si="8"/>
        <v>102000000</v>
      </c>
      <c r="F17" s="35">
        <v>6502500</v>
      </c>
      <c r="G17" s="35">
        <v>95497500</v>
      </c>
      <c r="H17" s="35">
        <f t="shared" si="9"/>
        <v>102000000</v>
      </c>
      <c r="I17" s="43">
        <v>102000000</v>
      </c>
      <c r="J17" s="48">
        <v>0</v>
      </c>
      <c r="K17" s="35">
        <v>102000000</v>
      </c>
      <c r="L17" s="35">
        <v>102001564.56999999</v>
      </c>
      <c r="M17" s="25">
        <f>95335762.33+13036976.03/1.9558</f>
        <v>102001564.57460579</v>
      </c>
      <c r="N17" s="12"/>
      <c r="O17" s="12"/>
      <c r="P17" s="12"/>
      <c r="Q17" s="12"/>
      <c r="R17" s="16"/>
      <c r="S17" s="17"/>
    </row>
    <row r="18" spans="1:19" s="18" customFormat="1" ht="29.25" customHeight="1" x14ac:dyDescent="0.25">
      <c r="A18" s="10" t="s">
        <v>15</v>
      </c>
      <c r="B18" s="11" t="s">
        <v>3</v>
      </c>
      <c r="C18" s="25">
        <f>285531663-1500000</f>
        <v>284031663</v>
      </c>
      <c r="D18" s="25">
        <v>50123236</v>
      </c>
      <c r="E18" s="25">
        <f t="shared" si="8"/>
        <v>334154899</v>
      </c>
      <c r="F18" s="35">
        <v>21735699.805</v>
      </c>
      <c r="G18" s="35">
        <v>66397859.539999999</v>
      </c>
      <c r="H18" s="35">
        <f t="shared" si="9"/>
        <v>88133559.344999999</v>
      </c>
      <c r="I18" s="43">
        <f t="shared" ref="I18:I19" si="14">K18-J18</f>
        <v>81837802.993095189</v>
      </c>
      <c r="J18" s="48">
        <f t="shared" ref="J18:J19" si="15">15%*K18</f>
        <v>14441965.234075621</v>
      </c>
      <c r="K18" s="50">
        <v>96279768.22717081</v>
      </c>
      <c r="L18" s="35">
        <f>86201141.4837058+1086756.66/1.9558-572427.88/1.9558</f>
        <v>86464117.646912679</v>
      </c>
      <c r="M18" s="35">
        <f>6606576.12+27687042.08/1.9558+78381538.95/1.9558</f>
        <v>60839412.314907461</v>
      </c>
      <c r="N18" s="12"/>
      <c r="O18" s="12"/>
      <c r="P18" s="12"/>
      <c r="Q18" s="12"/>
      <c r="R18" s="16"/>
      <c r="S18" s="17"/>
    </row>
    <row r="19" spans="1:19" s="18" customFormat="1" ht="29.25" customHeight="1" x14ac:dyDescent="0.25">
      <c r="A19" s="10" t="s">
        <v>16</v>
      </c>
      <c r="B19" s="11" t="s">
        <v>3</v>
      </c>
      <c r="C19" s="25">
        <v>104815264</v>
      </c>
      <c r="D19" s="25">
        <v>18496812</v>
      </c>
      <c r="E19" s="25">
        <f t="shared" si="8"/>
        <v>123312076</v>
      </c>
      <c r="F19" s="35">
        <v>11529679.040000001</v>
      </c>
      <c r="G19" s="35">
        <v>72970613.449999988</v>
      </c>
      <c r="H19" s="35">
        <f t="shared" si="9"/>
        <v>84500292.489999995</v>
      </c>
      <c r="I19" s="43">
        <f t="shared" si="14"/>
        <v>85229993.435836092</v>
      </c>
      <c r="J19" s="48">
        <f t="shared" si="15"/>
        <v>15040587.076912252</v>
      </c>
      <c r="K19" s="50">
        <v>100270580.51274835</v>
      </c>
      <c r="L19" s="35">
        <f>90560572.9319471-3849.8/1.9558</f>
        <v>90558604.53027004</v>
      </c>
      <c r="M19" s="35">
        <f>28256914.94+29680710.41/1.9558+54678179.85/1.9558</f>
        <v>71389592.238292262</v>
      </c>
      <c r="N19" s="12"/>
      <c r="O19" s="12"/>
      <c r="P19" s="12"/>
      <c r="Q19" s="12"/>
      <c r="R19" s="16"/>
      <c r="S19" s="17"/>
    </row>
    <row r="20" spans="1:19" s="13" customFormat="1" ht="36" customHeight="1" x14ac:dyDescent="0.25">
      <c r="A20" s="57" t="s">
        <v>4</v>
      </c>
      <c r="B20" s="58"/>
      <c r="C20" s="25">
        <f>+C5+C8+C11+C14+C15+C16+C17+C18+C19</f>
        <v>7526106541</v>
      </c>
      <c r="D20" s="25">
        <f>+D5+D8+D11+D14+D15+D16+D17+D18+D19</f>
        <v>1298072406</v>
      </c>
      <c r="E20" s="25">
        <f t="shared" si="8"/>
        <v>8824178947</v>
      </c>
      <c r="F20" s="35">
        <f t="shared" ref="F20:M20" si="16">+F5+F8+F11+F14+F15+F16+F17+F18+F19</f>
        <v>624333963.37624991</v>
      </c>
      <c r="G20" s="35">
        <f t="shared" si="16"/>
        <v>2431077187.0099998</v>
      </c>
      <c r="H20" s="35">
        <f>+H5+H8+H11+H14+H15+H16+H17+H18+H19</f>
        <v>3055411150.3862495</v>
      </c>
      <c r="I20" s="35">
        <f>+I5+I8+I11+I14+I15+I16+I17+I18+I19</f>
        <v>3392422167.2538886</v>
      </c>
      <c r="J20" s="35">
        <f t="shared" si="16"/>
        <v>571952530.72082782</v>
      </c>
      <c r="K20" s="35">
        <f>+K5+K8+K11+K14+K15+K16+K17+K18+K19</f>
        <v>3964374697.9747157</v>
      </c>
      <c r="L20" s="35">
        <f>+L5+L8+L11+L14+L15+L16+L17+L18+L19</f>
        <v>3170472188.9912848</v>
      </c>
      <c r="M20" s="25">
        <f t="shared" si="16"/>
        <v>2453940229.2220478</v>
      </c>
      <c r="N20" s="12"/>
      <c r="O20" s="12"/>
      <c r="P20" s="12"/>
      <c r="Q20" s="12"/>
      <c r="R20" s="16"/>
      <c r="S20" s="3"/>
    </row>
    <row r="21" spans="1:19" s="13" customFormat="1" ht="29.25" customHeight="1" x14ac:dyDescent="0.2">
      <c r="A21" s="6"/>
      <c r="B21" s="6"/>
      <c r="C21" s="1"/>
      <c r="D21" s="1"/>
      <c r="E21" s="1"/>
      <c r="F21" s="1"/>
      <c r="G21" s="1"/>
      <c r="H21" s="1"/>
      <c r="I21" s="38"/>
      <c r="J21" s="37"/>
      <c r="K21" s="1"/>
      <c r="L21" s="29"/>
      <c r="M21" s="29"/>
    </row>
    <row r="22" spans="1:19" s="13" customFormat="1" ht="27" customHeight="1" x14ac:dyDescent="0.2">
      <c r="A22" s="6"/>
      <c r="B22" s="6"/>
      <c r="C22" s="1"/>
      <c r="D22" s="1"/>
      <c r="E22" s="1"/>
      <c r="F22" s="1"/>
      <c r="G22" s="1"/>
      <c r="H22" s="1"/>
      <c r="I22" s="39"/>
      <c r="J22" s="37"/>
      <c r="K22" s="1"/>
      <c r="L22" s="30"/>
      <c r="M22" s="30"/>
    </row>
    <row r="23" spans="1:19" s="13" customFormat="1" ht="29.25" customHeight="1" x14ac:dyDescent="0.2">
      <c r="A23" s="6"/>
      <c r="B23" s="6"/>
      <c r="C23" s="1"/>
      <c r="D23" s="1"/>
      <c r="E23" s="1"/>
      <c r="F23" s="1"/>
      <c r="G23" s="1"/>
      <c r="H23" s="1"/>
      <c r="I23" s="39"/>
      <c r="J23" s="37"/>
      <c r="K23" s="1"/>
      <c r="L23" s="30"/>
      <c r="M23" s="30"/>
    </row>
    <row r="24" spans="1:19" s="13" customFormat="1" ht="29.25" customHeight="1" x14ac:dyDescent="0.2">
      <c r="A24" s="6"/>
      <c r="B24" s="6"/>
      <c r="C24" s="1"/>
      <c r="D24" s="1"/>
      <c r="E24" s="1"/>
      <c r="F24" s="1"/>
      <c r="G24" s="1"/>
      <c r="H24" s="1"/>
      <c r="I24" s="39"/>
      <c r="J24" s="37"/>
      <c r="K24" s="1"/>
      <c r="L24" s="30"/>
      <c r="M24" s="30"/>
    </row>
    <row r="25" spans="1:19" s="13" customFormat="1" ht="29.25" customHeight="1" x14ac:dyDescent="0.25">
      <c r="A25" s="6"/>
      <c r="B25" s="6"/>
      <c r="C25" s="2"/>
      <c r="D25" s="2"/>
      <c r="E25" s="2"/>
      <c r="F25" s="2"/>
      <c r="G25" s="2"/>
      <c r="H25" s="2"/>
      <c r="I25" s="40"/>
      <c r="J25" s="40"/>
      <c r="K25" s="4"/>
      <c r="L25" s="30"/>
      <c r="M25" s="30"/>
    </row>
    <row r="26" spans="1:19" s="13" customFormat="1" ht="29.25" customHeight="1" x14ac:dyDescent="0.25">
      <c r="A26" s="6"/>
      <c r="B26" s="6"/>
      <c r="C26" s="2"/>
      <c r="D26" s="2"/>
      <c r="E26" s="2"/>
      <c r="F26" s="2"/>
      <c r="G26" s="2"/>
      <c r="H26" s="2"/>
      <c r="I26" s="40"/>
      <c r="J26" s="40"/>
      <c r="K26" s="5"/>
      <c r="L26" s="30"/>
      <c r="M26" s="30"/>
    </row>
    <row r="27" spans="1:19" x14ac:dyDescent="0.25">
      <c r="K27" s="5"/>
    </row>
    <row r="28" spans="1:19" x14ac:dyDescent="0.25">
      <c r="K28" s="5"/>
    </row>
    <row r="29" spans="1:19" x14ac:dyDescent="0.25">
      <c r="K29" s="5"/>
    </row>
    <row r="30" spans="1:19" x14ac:dyDescent="0.25">
      <c r="K30" s="5"/>
    </row>
    <row r="31" spans="1:19" x14ac:dyDescent="0.25">
      <c r="K31" s="5"/>
    </row>
    <row r="32" spans="1:19" x14ac:dyDescent="0.25">
      <c r="B32" s="3"/>
      <c r="C32" s="3"/>
      <c r="D32" s="3"/>
      <c r="E32" s="3"/>
      <c r="F32" s="3"/>
      <c r="G32" s="3"/>
      <c r="H32" s="3"/>
      <c r="I32" s="3"/>
      <c r="J32" s="3"/>
      <c r="K32" s="5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0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2019-08-07T11:48:05Z</cp:lastPrinted>
  <dcterms:created xsi:type="dcterms:W3CDTF">2007-11-29T09:10:22Z</dcterms:created>
  <dcterms:modified xsi:type="dcterms:W3CDTF">2020-04-30T13:45:09Z</dcterms:modified>
</cp:coreProperties>
</file>