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75" yWindow="9420" windowWidth="20085" windowHeight="580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D20" i="5" l="1"/>
  <c r="C20" i="5"/>
  <c r="L11" i="5" l="1"/>
  <c r="L20" i="5" s="1"/>
  <c r="L5" i="5"/>
  <c r="K11" i="5"/>
  <c r="K8" i="5"/>
  <c r="K5" i="5"/>
  <c r="G18" i="5"/>
  <c r="G13" i="5"/>
  <c r="L8" i="5" l="1"/>
  <c r="J19" i="5"/>
  <c r="I19" i="5" s="1"/>
  <c r="J18" i="5"/>
  <c r="I18" i="5" s="1"/>
  <c r="J16" i="5"/>
  <c r="I16" i="5" s="1"/>
  <c r="J13" i="5"/>
  <c r="I13" i="5" s="1"/>
  <c r="J12" i="5"/>
  <c r="I12" i="5" s="1"/>
  <c r="J7" i="5"/>
  <c r="I7" i="5" s="1"/>
  <c r="J6" i="5"/>
  <c r="I6" i="5" s="1"/>
  <c r="G19" i="5" l="1"/>
  <c r="G15" i="5"/>
  <c r="G14" i="5"/>
  <c r="G10" i="5"/>
  <c r="G9" i="5"/>
  <c r="G7" i="5"/>
  <c r="G6" i="5"/>
  <c r="J14" i="5" l="1"/>
  <c r="I14" i="5"/>
  <c r="H7" i="5" l="1"/>
  <c r="G16" i="5" l="1"/>
  <c r="J10" i="5" l="1"/>
  <c r="I10" i="5" s="1"/>
  <c r="J9" i="5"/>
  <c r="I9" i="5" s="1"/>
  <c r="F12" i="5" l="1"/>
  <c r="M9" i="5" l="1"/>
  <c r="M10" i="5"/>
  <c r="F6" i="5" l="1"/>
  <c r="H6" i="5" s="1"/>
  <c r="F13" i="5" l="1"/>
  <c r="F10" i="5" l="1"/>
  <c r="F18" i="5"/>
  <c r="F14" i="5"/>
  <c r="F16" i="5"/>
  <c r="F9" i="5"/>
  <c r="H14" i="5" l="1"/>
  <c r="H19" i="5"/>
  <c r="H18" i="5"/>
  <c r="H17" i="5"/>
  <c r="H16" i="5"/>
  <c r="H15" i="5"/>
  <c r="H13" i="5"/>
  <c r="H12" i="5"/>
  <c r="H10" i="5"/>
  <c r="H9" i="5"/>
  <c r="H11" i="5" l="1"/>
  <c r="G11" i="5"/>
  <c r="M8" i="5"/>
  <c r="H8" i="5"/>
  <c r="G8" i="5"/>
  <c r="H5" i="5"/>
  <c r="G5" i="5"/>
  <c r="G20" i="5" l="1"/>
  <c r="H20" i="5"/>
  <c r="M13" i="5"/>
  <c r="M11" i="5" s="1"/>
  <c r="M18" i="5"/>
  <c r="M19" i="5" l="1"/>
  <c r="M17" i="5"/>
  <c r="M16" i="5"/>
  <c r="M15" i="5"/>
  <c r="M14" i="5"/>
  <c r="M6" i="5"/>
  <c r="M5" i="5" s="1"/>
  <c r="M20" i="5" l="1"/>
  <c r="C18" i="5"/>
  <c r="D11" i="5" l="1"/>
  <c r="F11" i="5"/>
  <c r="D8" i="5"/>
  <c r="F8" i="5"/>
  <c r="F5" i="5"/>
  <c r="F20" i="5" l="1"/>
  <c r="E19" i="5"/>
  <c r="E18" i="5"/>
  <c r="E17" i="5"/>
  <c r="E16" i="5"/>
  <c r="E15" i="5"/>
  <c r="E13" i="5"/>
  <c r="E12" i="5"/>
  <c r="E11" i="5" s="1"/>
  <c r="C11" i="5"/>
  <c r="E10" i="5"/>
  <c r="E9" i="5"/>
  <c r="E8" i="5" s="1"/>
  <c r="C8" i="5"/>
  <c r="E6" i="5"/>
  <c r="E5" i="5" s="1"/>
  <c r="D5" i="5"/>
  <c r="C5" i="5"/>
  <c r="E20" i="5" l="1"/>
  <c r="J5" i="5"/>
  <c r="I5" i="5"/>
  <c r="I8" i="5"/>
  <c r="J8" i="5"/>
  <c r="I11" i="5"/>
  <c r="J11" i="5"/>
  <c r="I20" i="5" l="1"/>
  <c r="K20" i="5"/>
  <c r="J20" i="5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<sst xmlns="http://schemas.openxmlformats.org/spreadsheetml/2006/main" count="45" uniqueCount="28">
  <si>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</si>
  <si>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</si>
  <si>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</si>
  <si>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</si>
  <si>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</si>
  <si>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</si>
  <si>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</si>
  <si>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</si>
  <si>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</si>
  <si>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</si>
  <si>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</si>
  <si>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</si>
  <si>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</si>
  <si>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</si>
  <si>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</si>
  <si>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</si>
  <si>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</si>
  <si>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</si>
  <si>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</si>
  <si>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</si>
  <si>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</si>
  <si>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31.01.2020</t>
  </si>
  <si>
    <t>Получени средства от ЕК на основание изпратени заявления за плащане към 31.01.2020</t>
  </si>
  <si>
    <t>Общо получени средства от ЕК към 31.01.2020</t>
  </si>
  <si>
    <t>Платено към 31.01.2020</t>
  </si>
  <si>
    <t>Общо платено към  31.01.2020</t>
  </si>
  <si>
    <t>Обща сума на публичните разходи, декларирани пред ЕК със Заявления за плащане 
към 31.01.2020</t>
  </si>
  <si>
    <t>Обща сума на публичните разходи, сертифицрани пред ЕК с Годишни счетоводни отчети 
към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</si>
</sst>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168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9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1" xfId="1" applyNumberFormat="1" applyFont="1" applyFill="1" applyBorder="1" applyAlignment="1">
      <alignment vertical="center" wrapText="1"/>
    </xf>
    <xf numFmtId="172" fontId="5" fillId="2" borderId="1" xfId="1" applyNumberFormat="1" applyFont="1" applyFill="1" applyBorder="1" applyAlignment="1">
      <alignment horizontal="right" vertical="center"/>
    </xf>
    <xf numFmtId="170" fontId="7" fillId="2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70" fontId="4" fillId="2" borderId="1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defaultColWidth="9.140625" defaultRowHeight="15" outlineLevelRow="1" x14ac:dyDescent="0.25"/>
  <cols>
    <col min="1" max="1" width="43" style="3" customWidth="1"/>
    <col min="2" max="2" width="7.85546875" style="2" customWidth="1"/>
    <col min="3" max="3" width="23.28515625" style="2" customWidth="1"/>
    <col min="4" max="4" width="18.140625" style="2" customWidth="1"/>
    <col min="5" max="5" width="17.5703125" style="2" customWidth="1"/>
    <col min="6" max="6" width="20.140625" style="2" customWidth="1"/>
    <col min="7" max="7" width="18.140625" style="2" customWidth="1"/>
    <col min="8" max="8" width="19.42578125" style="2" customWidth="1"/>
    <col min="9" max="9" width="17.42578125" style="40" customWidth="1"/>
    <col min="10" max="10" width="17.140625" style="40" customWidth="1"/>
    <col min="11" max="11" width="18.28515625" style="3" customWidth="1"/>
    <col min="12" max="12" width="20.5703125" style="3" customWidth="1"/>
    <col min="13" max="13" width="23.5703125" style="3" customWidth="1"/>
    <col min="14" max="14" width="28.42578125" style="3" customWidth="1"/>
    <col min="15" max="15" width="30.28515625" style="3" customWidth="1"/>
    <col min="16" max="16" width="19.7109375" style="3" customWidth="1"/>
    <col min="17" max="17" width="16.28515625" style="3" customWidth="1"/>
    <col min="18" max="18" width="14.5703125" style="3" customWidth="1"/>
    <col min="19" max="16384" width="9.140625" style="3"/>
  </cols>
  <sheetData>
    <row r="1" spans="1:20" s="7" customFormat="1" ht="11.25" customHeight="1" x14ac:dyDescent="0.2">
      <c r="A1" s="6"/>
      <c r="B1" s="6"/>
      <c r="C1" s="23"/>
      <c r="D1" s="23"/>
      <c r="E1" s="23"/>
      <c r="F1" s="23"/>
      <c r="G1" s="23"/>
      <c r="H1" s="23"/>
      <c r="I1" s="31"/>
      <c r="J1" s="31"/>
    </row>
    <row r="2" spans="1:20" s="8" customFormat="1" ht="12.75" customHeight="1" x14ac:dyDescent="0.2">
      <c r="A2" s="57" t="s">
        <v>0</v>
      </c>
      <c r="B2" s="57" t="s">
        <v>1</v>
      </c>
      <c r="C2" s="51" t="s">
        <v>18</v>
      </c>
      <c r="D2" s="60" t="s">
        <v>19</v>
      </c>
      <c r="E2" s="51" t="s">
        <v>20</v>
      </c>
      <c r="F2" s="51" t="s">
        <v>21</v>
      </c>
      <c r="G2" s="51" t="s">
        <v>22</v>
      </c>
      <c r="H2" s="51" t="s">
        <v>23</v>
      </c>
      <c r="I2" s="62" t="s">
        <v>24</v>
      </c>
      <c r="J2" s="63"/>
      <c r="K2" s="51" t="s">
        <v>25</v>
      </c>
      <c r="L2" s="53" t="s">
        <v>26</v>
      </c>
      <c r="M2" s="51" t="s">
        <v>27</v>
      </c>
    </row>
    <row r="3" spans="1:20" s="8" customFormat="1" ht="84.75" customHeight="1" x14ac:dyDescent="0.2">
      <c r="A3" s="58"/>
      <c r="B3" s="58"/>
      <c r="C3" s="59"/>
      <c r="D3" s="61"/>
      <c r="E3" s="59"/>
      <c r="F3" s="59"/>
      <c r="G3" s="59"/>
      <c r="H3" s="59"/>
      <c r="I3" s="32" t="s">
        <v>2</v>
      </c>
      <c r="J3" s="32" t="s">
        <v>5</v>
      </c>
      <c r="K3" s="52"/>
      <c r="L3" s="54"/>
      <c r="M3" s="52"/>
    </row>
    <row r="4" spans="1:20" s="8" customFormat="1" ht="18.75" customHeight="1" x14ac:dyDescent="0.2">
      <c r="A4" s="9">
        <v>1</v>
      </c>
      <c r="B4" s="22">
        <v>2</v>
      </c>
      <c r="C4" s="24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33">
        <v>9</v>
      </c>
      <c r="J4" s="34">
        <v>10</v>
      </c>
      <c r="K4" s="24">
        <v>11</v>
      </c>
      <c r="L4" s="34">
        <v>12</v>
      </c>
      <c r="M4" s="24">
        <v>13</v>
      </c>
    </row>
    <row r="5" spans="1:20" s="13" customFormat="1" ht="29.25" customHeight="1" x14ac:dyDescent="0.2">
      <c r="A5" s="10" t="s">
        <v>6</v>
      </c>
      <c r="B5" s="11" t="s">
        <v>3</v>
      </c>
      <c r="C5" s="25">
        <f>C6+C7</f>
        <v>1604449168</v>
      </c>
      <c r="D5" s="25">
        <f>D6+D7</f>
        <v>283138092</v>
      </c>
      <c r="E5" s="25">
        <f t="shared" ref="E5:P5" si="0">E6+E7</f>
        <v>1887587260</v>
      </c>
      <c r="F5" s="35">
        <f t="shared" si="0"/>
        <v>111966236.22999999</v>
      </c>
      <c r="G5" s="35">
        <f t="shared" si="0"/>
        <v>426714190.82000005</v>
      </c>
      <c r="H5" s="35">
        <f t="shared" si="0"/>
        <v>538680427.04999995</v>
      </c>
      <c r="I5" s="35">
        <f t="shared" si="0"/>
        <v>635159982.75900006</v>
      </c>
      <c r="J5" s="35">
        <f t="shared" si="0"/>
        <v>112087055.78099999</v>
      </c>
      <c r="K5" s="43">
        <f>K6+K7</f>
        <v>747247038.53999996</v>
      </c>
      <c r="L5" s="25">
        <f t="shared" ref="L5" si="1">L6+L7</f>
        <v>589388583.24489796</v>
      </c>
      <c r="M5" s="25">
        <f t="shared" si="0"/>
        <v>297586363.59070355</v>
      </c>
      <c r="N5" s="12"/>
      <c r="O5" s="12"/>
      <c r="P5" s="12"/>
      <c r="Q5" s="12"/>
    </row>
    <row r="6" spans="1:20" ht="29.25" customHeight="1" outlineLevel="1" x14ac:dyDescent="0.25">
      <c r="A6" s="14" t="s">
        <v>9</v>
      </c>
      <c r="B6" s="15" t="s">
        <v>3</v>
      </c>
      <c r="C6" s="41">
        <v>459761907</v>
      </c>
      <c r="D6" s="41">
        <v>81134456</v>
      </c>
      <c r="E6" s="36">
        <f>+C6+D6</f>
        <v>540896363</v>
      </c>
      <c r="F6" s="36">
        <f>33105127.97+6324688</f>
        <v>39429815.969999999</v>
      </c>
      <c r="G6" s="36">
        <f>218928923.24+12811688.24+10940186.05</f>
        <v>242680797.53000003</v>
      </c>
      <c r="H6" s="36">
        <f>F6+G6</f>
        <v>282110613.5</v>
      </c>
      <c r="I6" s="36">
        <f>K6-J6</f>
        <v>325651281.20600003</v>
      </c>
      <c r="J6" s="49">
        <f>K6*15%</f>
        <v>57467873.153999999</v>
      </c>
      <c r="K6" s="36">
        <v>383119154.36000001</v>
      </c>
      <c r="L6" s="36">
        <v>327528552.33649737</v>
      </c>
      <c r="M6" s="36">
        <f>98656531.13+138917563.52/1.9558</f>
        <v>169685043.0023796</v>
      </c>
      <c r="N6" s="12"/>
      <c r="O6" s="12"/>
      <c r="P6" s="12"/>
      <c r="Q6" s="12"/>
      <c r="R6" s="16"/>
    </row>
    <row r="7" spans="1:20" ht="29.25" customHeight="1" outlineLevel="1" x14ac:dyDescent="0.25">
      <c r="A7" s="14" t="s">
        <v>10</v>
      </c>
      <c r="B7" s="15" t="s">
        <v>3</v>
      </c>
      <c r="C7" s="41">
        <v>1144687261</v>
      </c>
      <c r="D7" s="41">
        <v>202003636</v>
      </c>
      <c r="E7" s="36">
        <v>1346690897</v>
      </c>
      <c r="F7" s="36">
        <v>72536420.25999999</v>
      </c>
      <c r="G7" s="36">
        <f>176064173.58+7825488.07+143731.64</f>
        <v>184033393.28999999</v>
      </c>
      <c r="H7" s="36">
        <f>F7+G7</f>
        <v>256569813.54999998</v>
      </c>
      <c r="I7" s="36">
        <f>K7-J7</f>
        <v>309508701.55300003</v>
      </c>
      <c r="J7" s="49">
        <f>K7*15%</f>
        <v>54619182.626999997</v>
      </c>
      <c r="K7" s="36">
        <v>364127884.18000001</v>
      </c>
      <c r="L7" s="36">
        <v>261860030.90840057</v>
      </c>
      <c r="M7" s="36">
        <v>127901320.58832397</v>
      </c>
      <c r="N7" s="12"/>
      <c r="O7" s="12"/>
      <c r="P7" s="12"/>
      <c r="Q7" s="12"/>
      <c r="R7" s="16"/>
    </row>
    <row r="8" spans="1:20" s="13" customFormat="1" ht="29.25" customHeight="1" x14ac:dyDescent="0.25">
      <c r="A8" s="10" t="s">
        <v>7</v>
      </c>
      <c r="B8" s="11" t="s">
        <v>3</v>
      </c>
      <c r="C8" s="25">
        <f>C9+C10</f>
        <v>1504824141</v>
      </c>
      <c r="D8" s="25">
        <f t="shared" ref="D8:P8" si="2">D9+D10</f>
        <v>265557204</v>
      </c>
      <c r="E8" s="25">
        <f t="shared" si="2"/>
        <v>1770381345</v>
      </c>
      <c r="F8" s="35">
        <f t="shared" si="2"/>
        <v>91164511.430000007</v>
      </c>
      <c r="G8" s="35">
        <f t="shared" si="2"/>
        <v>236831464.57000002</v>
      </c>
      <c r="H8" s="35">
        <f t="shared" si="2"/>
        <v>327995976</v>
      </c>
      <c r="I8" s="35">
        <f t="shared" si="2"/>
        <v>409774221.70249999</v>
      </c>
      <c r="J8" s="35">
        <f t="shared" si="2"/>
        <v>72313097.94749999</v>
      </c>
      <c r="K8" s="43">
        <f t="shared" si="2"/>
        <v>482087319.64999998</v>
      </c>
      <c r="L8" s="35">
        <f t="shared" si="2"/>
        <v>418494984.61863363</v>
      </c>
      <c r="M8" s="25">
        <f t="shared" si="2"/>
        <v>97725777.545104817</v>
      </c>
      <c r="N8" s="12"/>
      <c r="O8" s="12"/>
      <c r="P8" s="12"/>
      <c r="Q8" s="12"/>
      <c r="R8" s="16"/>
    </row>
    <row r="9" spans="1:20" ht="29.25" customHeight="1" outlineLevel="1" x14ac:dyDescent="0.25">
      <c r="A9" s="14" t="s">
        <v>9</v>
      </c>
      <c r="B9" s="15" t="s">
        <v>3</v>
      </c>
      <c r="C9" s="26">
        <v>371204258</v>
      </c>
      <c r="D9" s="26">
        <v>65506635</v>
      </c>
      <c r="E9" s="27">
        <f t="shared" ref="E9:E10" si="3">+C9+D9</f>
        <v>436710893</v>
      </c>
      <c r="F9" s="36">
        <f>21007511.39+773095.73</f>
        <v>21780607.120000001</v>
      </c>
      <c r="G9" s="42">
        <f>48553778.34+3342740.94+3940639.14+2131465.32</f>
        <v>57968623.740000002</v>
      </c>
      <c r="H9" s="36">
        <f>F9+G9</f>
        <v>79749230.859999999</v>
      </c>
      <c r="I9" s="44">
        <f t="shared" ref="I9:I13" si="4">K9-J9</f>
        <v>82797640.012500003</v>
      </c>
      <c r="J9" s="45">
        <f t="shared" ref="J9:J13" si="5">K9*15%</f>
        <v>14611348.237499999</v>
      </c>
      <c r="K9" s="36">
        <v>97408988.25</v>
      </c>
      <c r="L9" s="36">
        <v>80047700.250554174</v>
      </c>
      <c r="M9" s="27">
        <f>11106979.35+7752577.57/1.9558</f>
        <v>15070870.121039983</v>
      </c>
      <c r="N9" s="12"/>
      <c r="O9" s="12"/>
      <c r="P9" s="12"/>
      <c r="Q9" s="12"/>
      <c r="R9" s="16"/>
      <c r="S9" s="17"/>
    </row>
    <row r="10" spans="1:20" ht="29.25" customHeight="1" outlineLevel="1" x14ac:dyDescent="0.25">
      <c r="A10" s="14" t="s">
        <v>10</v>
      </c>
      <c r="B10" s="15" t="s">
        <v>3</v>
      </c>
      <c r="C10" s="26">
        <v>1133619883</v>
      </c>
      <c r="D10" s="26">
        <v>200050569</v>
      </c>
      <c r="E10" s="27">
        <f t="shared" si="3"/>
        <v>1333670452</v>
      </c>
      <c r="F10" s="36">
        <f>63051041.76+6332862.55</f>
        <v>69383904.310000002</v>
      </c>
      <c r="G10" s="42">
        <f>155108172.68+9098886.72+6814270.81+7841510.62</f>
        <v>178862840.83000001</v>
      </c>
      <c r="H10" s="36">
        <f>F10+G10</f>
        <v>248246745.14000002</v>
      </c>
      <c r="I10" s="44">
        <f t="shared" si="4"/>
        <v>326976581.69</v>
      </c>
      <c r="J10" s="45">
        <f t="shared" si="5"/>
        <v>57701749.709999993</v>
      </c>
      <c r="K10" s="36">
        <v>384678331.39999998</v>
      </c>
      <c r="L10" s="36">
        <v>338447284.36807948</v>
      </c>
      <c r="M10" s="27">
        <f>23431712.67+115828724.3/1.9558</f>
        <v>82654907.42406483</v>
      </c>
      <c r="N10" s="12"/>
      <c r="O10" s="12"/>
      <c r="P10" s="12"/>
      <c r="Q10" s="12"/>
      <c r="R10" s="16"/>
      <c r="S10" s="17"/>
    </row>
    <row r="11" spans="1:20" s="13" customFormat="1" ht="29.25" customHeight="1" x14ac:dyDescent="0.25">
      <c r="A11" s="10" t="s">
        <v>13</v>
      </c>
      <c r="B11" s="11" t="s">
        <v>3</v>
      </c>
      <c r="C11" s="25">
        <f>C12+C13</f>
        <v>552540872</v>
      </c>
      <c r="D11" s="25">
        <f t="shared" ref="D11:P11" si="6">D12+D13</f>
        <v>97507215</v>
      </c>
      <c r="E11" s="25">
        <f t="shared" si="6"/>
        <v>650048087</v>
      </c>
      <c r="F11" s="35">
        <f t="shared" si="6"/>
        <v>33890930.167500004</v>
      </c>
      <c r="G11" s="35">
        <f t="shared" si="6"/>
        <v>120592140.02000001</v>
      </c>
      <c r="H11" s="35">
        <f t="shared" si="6"/>
        <v>154483070.1875</v>
      </c>
      <c r="I11" s="35">
        <f t="shared" si="6"/>
        <v>221201561.00150001</v>
      </c>
      <c r="J11" s="35">
        <f t="shared" si="6"/>
        <v>39035569.588500001</v>
      </c>
      <c r="K11" s="43">
        <f t="shared" si="6"/>
        <v>260237130.59</v>
      </c>
      <c r="L11" s="35">
        <f t="shared" si="6"/>
        <v>175247187.34999999</v>
      </c>
      <c r="M11" s="25">
        <f t="shared" si="6"/>
        <v>25578835.080274057</v>
      </c>
      <c r="N11" s="12"/>
      <c r="O11" s="12"/>
      <c r="P11" s="12"/>
      <c r="Q11" s="12"/>
      <c r="R11" s="16"/>
      <c r="S11" s="17"/>
    </row>
    <row r="12" spans="1:20" s="18" customFormat="1" ht="29.25" customHeight="1" x14ac:dyDescent="0.25">
      <c r="A12" s="14" t="s">
        <v>9</v>
      </c>
      <c r="B12" s="15" t="s">
        <v>3</v>
      </c>
      <c r="C12" s="41">
        <v>187926049</v>
      </c>
      <c r="D12" s="41">
        <v>33163421</v>
      </c>
      <c r="E12" s="27">
        <f t="shared" ref="E12:E20" si="7">+C12+D12</f>
        <v>221089470</v>
      </c>
      <c r="F12" s="36">
        <f>12266222.0075</f>
        <v>12266222.0075</v>
      </c>
      <c r="G12" s="42">
        <v>10111846.859999999</v>
      </c>
      <c r="H12" s="36">
        <f t="shared" ref="H12:H19" si="8">F12+G12</f>
        <v>22378068.8675</v>
      </c>
      <c r="I12" s="44">
        <f t="shared" si="4"/>
        <v>60716351.640500009</v>
      </c>
      <c r="J12" s="48">
        <f t="shared" si="5"/>
        <v>10714650.2895</v>
      </c>
      <c r="K12" s="36">
        <v>71431001.930000007</v>
      </c>
      <c r="L12" s="50">
        <v>30859336.48</v>
      </c>
      <c r="M12" s="28">
        <v>0</v>
      </c>
      <c r="N12" s="12"/>
      <c r="O12" s="12"/>
      <c r="P12" s="12"/>
      <c r="Q12" s="12"/>
      <c r="R12" s="16"/>
      <c r="S12" s="17"/>
    </row>
    <row r="13" spans="1:20" s="13" customFormat="1" ht="29.25" customHeight="1" x14ac:dyDescent="0.25">
      <c r="A13" s="14" t="s">
        <v>11</v>
      </c>
      <c r="B13" s="15" t="s">
        <v>3</v>
      </c>
      <c r="C13" s="41">
        <v>364614823</v>
      </c>
      <c r="D13" s="41">
        <v>64343794</v>
      </c>
      <c r="E13" s="27">
        <f t="shared" si="7"/>
        <v>428958617</v>
      </c>
      <c r="F13" s="36">
        <f>19059752.41+2564955.75</f>
        <v>21624708.16</v>
      </c>
      <c r="G13" s="42">
        <f>87183594.78+1593236.14+3689375.84+5881245.76+12132840.64</f>
        <v>110480293.16000001</v>
      </c>
      <c r="H13" s="36">
        <f t="shared" si="8"/>
        <v>132105001.32000001</v>
      </c>
      <c r="I13" s="44">
        <f t="shared" si="4"/>
        <v>160485209.361</v>
      </c>
      <c r="J13" s="45">
        <f t="shared" si="5"/>
        <v>28320919.298999999</v>
      </c>
      <c r="K13" s="36">
        <v>188806128.66</v>
      </c>
      <c r="L13" s="36">
        <v>144387850.87</v>
      </c>
      <c r="M13" s="27">
        <f>50027085.65/1.9558</f>
        <v>25578835.080274057</v>
      </c>
      <c r="N13" s="12"/>
      <c r="O13" s="12"/>
      <c r="P13" s="12"/>
      <c r="Q13" s="12"/>
      <c r="R13" s="16"/>
      <c r="S13" s="17"/>
      <c r="T13" s="19"/>
    </row>
    <row r="14" spans="1:20" s="18" customFormat="1" ht="29.25" customHeight="1" x14ac:dyDescent="0.25">
      <c r="A14" s="10" t="s">
        <v>12</v>
      </c>
      <c r="B14" s="11" t="s">
        <v>3</v>
      </c>
      <c r="C14" s="25">
        <v>1311704793</v>
      </c>
      <c r="D14" s="25">
        <v>231477320</v>
      </c>
      <c r="E14" s="25">
        <v>1543182113</v>
      </c>
      <c r="F14" s="35">
        <f>74417502.8+8589859.95</f>
        <v>83007362.75</v>
      </c>
      <c r="G14" s="35">
        <f>299553272.98+24385188.41+20036709.51+15577785.83</f>
        <v>359552956.73000002</v>
      </c>
      <c r="H14" s="35">
        <f t="shared" si="8"/>
        <v>442560319.48000002</v>
      </c>
      <c r="I14" s="43">
        <f t="shared" ref="I14" si="9">K14-J14</f>
        <v>691878296.82249999</v>
      </c>
      <c r="J14" s="46">
        <f t="shared" ref="J14" si="10">K14*15%</f>
        <v>122096170.0275</v>
      </c>
      <c r="K14" s="35">
        <v>813974466.85000002</v>
      </c>
      <c r="L14" s="35">
        <v>499768958.53866613</v>
      </c>
      <c r="M14" s="25">
        <f>56363297.09+162381786.29/1.9558</f>
        <v>139389059.58616525</v>
      </c>
      <c r="N14" s="12"/>
      <c r="O14" s="12"/>
      <c r="P14" s="12"/>
      <c r="Q14" s="12"/>
      <c r="R14" s="16"/>
      <c r="S14" s="17"/>
    </row>
    <row r="15" spans="1:20" s="18" customFormat="1" ht="29.25" customHeight="1" x14ac:dyDescent="0.25">
      <c r="A15" s="20" t="s">
        <v>8</v>
      </c>
      <c r="B15" s="11" t="s">
        <v>3</v>
      </c>
      <c r="C15" s="25">
        <v>938665315</v>
      </c>
      <c r="D15" s="25">
        <v>153582762</v>
      </c>
      <c r="E15" s="25">
        <f t="shared" si="7"/>
        <v>1092248077</v>
      </c>
      <c r="F15" s="35">
        <v>90571495.789999992</v>
      </c>
      <c r="G15" s="35">
        <f>348324786.54+9334442.54+1050079.48+44741868.86+3230508.78</f>
        <v>406681686.20000005</v>
      </c>
      <c r="H15" s="35">
        <f t="shared" si="8"/>
        <v>497253181.99000001</v>
      </c>
      <c r="I15" s="47">
        <v>540404160.62029755</v>
      </c>
      <c r="J15" s="47">
        <v>86864325.849702418</v>
      </c>
      <c r="K15" s="35">
        <v>627268486.46999991</v>
      </c>
      <c r="L15" s="35">
        <v>523788966.24525416</v>
      </c>
      <c r="M15" s="25">
        <f>130663671.3+(219545983.91+36770765.1)/1.9558</f>
        <v>261718354.29928416</v>
      </c>
      <c r="N15" s="12"/>
      <c r="O15" s="12"/>
      <c r="P15" s="12"/>
      <c r="Q15" s="12"/>
      <c r="R15" s="16"/>
      <c r="S15" s="17"/>
    </row>
    <row r="16" spans="1:20" s="18" customFormat="1" ht="29.25" customHeight="1" x14ac:dyDescent="0.25">
      <c r="A16" s="10" t="s">
        <v>17</v>
      </c>
      <c r="B16" s="11" t="s">
        <v>3</v>
      </c>
      <c r="C16" s="25">
        <v>1123075325</v>
      </c>
      <c r="D16" s="25">
        <v>198189765</v>
      </c>
      <c r="E16" s="25">
        <f t="shared" si="7"/>
        <v>1321265090</v>
      </c>
      <c r="F16" s="35">
        <f>76213076.12625+11882118.65</f>
        <v>88095194.776250005</v>
      </c>
      <c r="G16" s="35">
        <f>403357120.42+21370038.91+12624338.62</f>
        <v>437351497.95000005</v>
      </c>
      <c r="H16" s="35">
        <f t="shared" si="8"/>
        <v>525446692.72625005</v>
      </c>
      <c r="I16" s="43">
        <f t="shared" ref="I16" si="11">K16-J16</f>
        <v>528878637.00299996</v>
      </c>
      <c r="J16" s="46">
        <f t="shared" ref="J16" si="12">K16*15%</f>
        <v>93331524.176999986</v>
      </c>
      <c r="K16" s="35">
        <v>622210161.17999995</v>
      </c>
      <c r="L16" s="35">
        <v>586124233.24982095</v>
      </c>
      <c r="M16" s="25">
        <f>205479323.49+262668803.8/1.9558</f>
        <v>339781810.3495971</v>
      </c>
      <c r="N16" s="12"/>
      <c r="O16" s="19"/>
      <c r="P16" s="12"/>
      <c r="Q16" s="12"/>
      <c r="R16" s="16"/>
      <c r="S16" s="17"/>
    </row>
    <row r="17" spans="1:19" s="18" customFormat="1" ht="29.25" customHeight="1" x14ac:dyDescent="0.25">
      <c r="A17" s="21" t="s">
        <v>14</v>
      </c>
      <c r="B17" s="11" t="s">
        <v>3</v>
      </c>
      <c r="C17" s="25">
        <v>102000000</v>
      </c>
      <c r="D17" s="25">
        <v>0</v>
      </c>
      <c r="E17" s="25">
        <f t="shared" si="7"/>
        <v>102000000</v>
      </c>
      <c r="F17" s="35">
        <v>6502500</v>
      </c>
      <c r="G17" s="35">
        <v>95497500</v>
      </c>
      <c r="H17" s="35">
        <f t="shared" si="8"/>
        <v>102000000</v>
      </c>
      <c r="I17" s="43">
        <v>102000000</v>
      </c>
      <c r="J17" s="46">
        <v>0</v>
      </c>
      <c r="K17" s="35">
        <v>102000000</v>
      </c>
      <c r="L17" s="35">
        <v>102001564.56999999</v>
      </c>
      <c r="M17" s="25">
        <f>95335762.33+13036976.03/1.9558</f>
        <v>102001564.57460579</v>
      </c>
      <c r="N17" s="12"/>
      <c r="O17" s="12"/>
      <c r="P17" s="12"/>
      <c r="Q17" s="12"/>
      <c r="R17" s="16"/>
      <c r="S17" s="17"/>
    </row>
    <row r="18" spans="1:19" s="18" customFormat="1" ht="29.25" customHeight="1" x14ac:dyDescent="0.25">
      <c r="A18" s="10" t="s">
        <v>15</v>
      </c>
      <c r="B18" s="11" t="s">
        <v>3</v>
      </c>
      <c r="C18" s="25">
        <f>285531663-1500000</f>
        <v>284031663</v>
      </c>
      <c r="D18" s="25">
        <v>50123236</v>
      </c>
      <c r="E18" s="25">
        <f t="shared" si="7"/>
        <v>334154899</v>
      </c>
      <c r="F18" s="35">
        <f>16182582.485+1494522.74</f>
        <v>17677105.224999998</v>
      </c>
      <c r="G18" s="35">
        <f>46794960.02+3150798.83+3740141.41+12286880.71</f>
        <v>65972780.970000006</v>
      </c>
      <c r="H18" s="35">
        <f t="shared" si="8"/>
        <v>83649886.195000008</v>
      </c>
      <c r="I18" s="43">
        <f t="shared" ref="I18:I19" si="13">K18-J18</f>
        <v>80057725.626000002</v>
      </c>
      <c r="J18" s="46">
        <f t="shared" ref="J18:J19" si="14">K18*15%</f>
        <v>14127833.934</v>
      </c>
      <c r="K18" s="35">
        <v>94185559.560000002</v>
      </c>
      <c r="L18" s="35">
        <v>86201141.483705848</v>
      </c>
      <c r="M18" s="25">
        <f>6606576.12+27687042.08/1.9558</f>
        <v>20762953.091060434</v>
      </c>
      <c r="N18" s="12"/>
      <c r="O18" s="12"/>
      <c r="P18" s="12"/>
      <c r="Q18" s="12"/>
      <c r="R18" s="16"/>
      <c r="S18" s="17"/>
    </row>
    <row r="19" spans="1:19" s="18" customFormat="1" ht="29.25" customHeight="1" x14ac:dyDescent="0.25">
      <c r="A19" s="10" t="s">
        <v>16</v>
      </c>
      <c r="B19" s="11" t="s">
        <v>3</v>
      </c>
      <c r="C19" s="25">
        <v>104815264</v>
      </c>
      <c r="D19" s="25">
        <v>18496812</v>
      </c>
      <c r="E19" s="25">
        <f t="shared" si="7"/>
        <v>123312076</v>
      </c>
      <c r="F19" s="35">
        <v>11529679.040000001</v>
      </c>
      <c r="G19" s="35">
        <f>58306319.23+4318510.55+4354658.23</f>
        <v>66979488.00999999</v>
      </c>
      <c r="H19" s="35">
        <f t="shared" si="8"/>
        <v>78509167.049999997</v>
      </c>
      <c r="I19" s="43">
        <f t="shared" si="13"/>
        <v>83492771.568000004</v>
      </c>
      <c r="J19" s="46">
        <f t="shared" si="14"/>
        <v>14734018.512</v>
      </c>
      <c r="K19" s="35">
        <v>98226790.079999998</v>
      </c>
      <c r="L19" s="35">
        <v>90560572.931947052</v>
      </c>
      <c r="M19" s="25">
        <f>28256914.94+29680710.41/1.9558</f>
        <v>43432653.977733925</v>
      </c>
      <c r="N19" s="12"/>
      <c r="O19" s="12"/>
      <c r="P19" s="12"/>
      <c r="Q19" s="12"/>
      <c r="R19" s="16"/>
      <c r="S19" s="17"/>
    </row>
    <row r="20" spans="1:19" s="13" customFormat="1" ht="36" customHeight="1" x14ac:dyDescent="0.25">
      <c r="A20" s="55" t="s">
        <v>4</v>
      </c>
      <c r="B20" s="56"/>
      <c r="C20" s="25">
        <f>+C5+C8+C11+C14+C15+C16+C17+C18+C19</f>
        <v>7526106541</v>
      </c>
      <c r="D20" s="25">
        <f>+D5+D8+D11+D14+D15+D16+D17+D18+D19</f>
        <v>1298072406</v>
      </c>
      <c r="E20" s="25">
        <f t="shared" si="7"/>
        <v>8824178947</v>
      </c>
      <c r="F20" s="35">
        <f t="shared" ref="F20:O20" si="15">+F5+F8+F11+F14+F15+F16+F17+F18+F19</f>
        <v>534405015.40875</v>
      </c>
      <c r="G20" s="35">
        <f t="shared" si="15"/>
        <v>2216173705.2700005</v>
      </c>
      <c r="H20" s="35">
        <f>+H5+H8+H11+H14+H15+H16+H17+H18+H19</f>
        <v>2750578720.6787505</v>
      </c>
      <c r="I20" s="35">
        <f>+I5+I8+I11+I14+I15+I16+I17+I18+I19</f>
        <v>3292847357.102797</v>
      </c>
      <c r="J20" s="35">
        <f t="shared" si="15"/>
        <v>554589595.81720233</v>
      </c>
      <c r="K20" s="35">
        <f>+K5+K8+K11+K14+K15+K16+K17+K18+K19</f>
        <v>3847436952.9199996</v>
      </c>
      <c r="L20" s="35">
        <f>+L5+L8+L11+L14+L15+L16+L17+L18+L19</f>
        <v>3071576192.2329259</v>
      </c>
      <c r="M20" s="25">
        <f t="shared" si="15"/>
        <v>1327977372.0945289</v>
      </c>
      <c r="N20" s="12"/>
      <c r="O20" s="12"/>
      <c r="P20" s="12"/>
      <c r="Q20" s="12"/>
      <c r="R20" s="16"/>
      <c r="S20" s="3"/>
    </row>
    <row r="21" spans="1:19" s="13" customFormat="1" ht="29.25" customHeight="1" x14ac:dyDescent="0.2">
      <c r="A21" s="6"/>
      <c r="B21" s="6"/>
      <c r="C21" s="1"/>
      <c r="D21" s="1"/>
      <c r="E21" s="1"/>
      <c r="F21" s="1"/>
      <c r="G21" s="1"/>
      <c r="H21" s="1"/>
      <c r="I21" s="37"/>
      <c r="J21" s="37"/>
      <c r="K21" s="1"/>
      <c r="L21" s="1"/>
      <c r="M21" s="1"/>
    </row>
    <row r="22" spans="1:19" s="13" customFormat="1" ht="29.25" customHeight="1" x14ac:dyDescent="0.2">
      <c r="A22" s="6"/>
      <c r="B22" s="6"/>
      <c r="C22" s="1"/>
      <c r="D22" s="1"/>
      <c r="E22" s="1"/>
      <c r="F22" s="1"/>
      <c r="G22" s="1"/>
      <c r="H22" s="1"/>
      <c r="I22" s="38"/>
      <c r="J22" s="37"/>
      <c r="K22" s="1"/>
      <c r="L22" s="29"/>
      <c r="M22" s="29"/>
    </row>
    <row r="23" spans="1:19" s="13" customFormat="1" ht="29.25" customHeight="1" x14ac:dyDescent="0.2">
      <c r="A23" s="6"/>
      <c r="B23" s="6"/>
      <c r="C23" s="1"/>
      <c r="D23" s="1"/>
      <c r="E23" s="1"/>
      <c r="F23" s="1"/>
      <c r="G23" s="1"/>
      <c r="H23" s="1"/>
      <c r="I23" s="39"/>
      <c r="J23" s="37"/>
      <c r="K23" s="1"/>
      <c r="L23" s="30"/>
      <c r="M23" s="30"/>
    </row>
    <row r="24" spans="1:19" s="13" customFormat="1" ht="29.25" customHeight="1" x14ac:dyDescent="0.2">
      <c r="A24" s="6"/>
      <c r="B24" s="6"/>
      <c r="C24" s="1"/>
      <c r="D24" s="1"/>
      <c r="E24" s="1"/>
      <c r="F24" s="1"/>
      <c r="G24" s="1"/>
      <c r="H24" s="1"/>
      <c r="I24" s="39"/>
      <c r="J24" s="37"/>
      <c r="K24" s="1"/>
      <c r="L24" s="30"/>
      <c r="M24" s="30"/>
    </row>
    <row r="25" spans="1:19" s="13" customFormat="1" ht="29.25" customHeight="1" x14ac:dyDescent="0.2">
      <c r="A25" s="6"/>
      <c r="B25" s="6"/>
      <c r="C25" s="1"/>
      <c r="D25" s="1"/>
      <c r="E25" s="1"/>
      <c r="F25" s="1"/>
      <c r="G25" s="1"/>
      <c r="H25" s="1"/>
      <c r="I25" s="39"/>
      <c r="J25" s="37"/>
      <c r="K25" s="1"/>
      <c r="L25" s="30"/>
      <c r="M25" s="30"/>
    </row>
    <row r="26" spans="1:19" s="13" customFormat="1" ht="29.25" customHeight="1" x14ac:dyDescent="0.25">
      <c r="A26" s="6"/>
      <c r="B26" s="6"/>
      <c r="C26" s="2"/>
      <c r="D26" s="2"/>
      <c r="E26" s="2"/>
      <c r="F26" s="2"/>
      <c r="G26" s="2"/>
      <c r="H26" s="2"/>
      <c r="I26" s="40"/>
      <c r="J26" s="40"/>
      <c r="K26" s="4"/>
      <c r="L26" s="30"/>
      <c r="M26" s="30"/>
    </row>
    <row r="27" spans="1:19" s="13" customFormat="1" ht="29.25" customHeight="1" x14ac:dyDescent="0.25">
      <c r="A27" s="6"/>
      <c r="B27" s="6"/>
      <c r="C27" s="2"/>
      <c r="D27" s="2"/>
      <c r="E27" s="2"/>
      <c r="F27" s="2"/>
      <c r="G27" s="2"/>
      <c r="H27" s="2"/>
      <c r="I27" s="40"/>
      <c r="J27" s="40"/>
      <c r="K27" s="5"/>
      <c r="L27" s="30"/>
      <c r="M27" s="30"/>
    </row>
    <row r="28" spans="1:19" x14ac:dyDescent="0.25">
      <c r="K28" s="5"/>
    </row>
    <row r="29" spans="1:19" x14ac:dyDescent="0.25">
      <c r="K29" s="5"/>
    </row>
    <row r="30" spans="1:19" x14ac:dyDescent="0.25">
      <c r="K30" s="5"/>
    </row>
    <row r="31" spans="1:19" x14ac:dyDescent="0.25">
      <c r="K31" s="5"/>
    </row>
    <row r="32" spans="1:19" x14ac:dyDescent="0.25">
      <c r="K32" s="5"/>
    </row>
    <row r="33" spans="11:11" s="3" customFormat="1" x14ac:dyDescent="0.25">
      <c r="K33" s="5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3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2019-08-07T11:48:05Z</cp:lastPrinted>
  <dcterms:created xsi:type="dcterms:W3CDTF">2007-11-29T09:10:22Z</dcterms:created>
  <dcterms:modified xsi:type="dcterms:W3CDTF">2020-02-28T14:55:55Z</dcterms:modified>
</cp:coreProperties>
</file>