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9360" windowWidth="20085" windowHeight="586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5" i="5" l="1"/>
  <c r="L18" i="5" l="1"/>
  <c r="L19" i="5" l="1"/>
  <c r="L14" i="5"/>
  <c r="L13" i="5"/>
  <c r="L10" i="5"/>
  <c r="L9" i="5"/>
  <c r="I19" i="5" l="1"/>
  <c r="I18" i="5"/>
  <c r="I16" i="5"/>
  <c r="J19" i="5"/>
  <c r="J18" i="5"/>
  <c r="J16" i="5"/>
  <c r="I13" i="5"/>
  <c r="I12" i="5"/>
  <c r="J13" i="5"/>
  <c r="J12" i="5"/>
  <c r="I7" i="5"/>
  <c r="I6" i="5"/>
  <c r="J7" i="5"/>
  <c r="J6" i="5"/>
  <c r="G19" i="5" l="1"/>
  <c r="G15" i="5"/>
  <c r="G14" i="5"/>
  <c r="G13" i="5"/>
  <c r="G10" i="5"/>
  <c r="G9" i="5"/>
  <c r="G7" i="5"/>
  <c r="G6" i="5"/>
  <c r="J14" i="5" l="1"/>
  <c r="I14" i="5"/>
  <c r="H7" i="5" l="1"/>
  <c r="G18" i="5" l="1"/>
  <c r="G16" i="5"/>
  <c r="H6" i="5" l="1"/>
  <c r="L7" i="5" l="1"/>
  <c r="L6" i="5"/>
  <c r="L16" i="5"/>
  <c r="J10" i="5"/>
  <c r="I10" i="5" s="1"/>
  <c r="J9" i="5"/>
  <c r="I9" i="5"/>
  <c r="F12" i="5" l="1"/>
  <c r="M9" i="5" l="1"/>
  <c r="M10" i="5"/>
  <c r="F6" i="5" l="1"/>
  <c r="F13" i="5" l="1"/>
  <c r="F10" i="5" l="1"/>
  <c r="F18" i="5"/>
  <c r="F14" i="5"/>
  <c r="F16" i="5"/>
  <c r="F9" i="5"/>
  <c r="H14" i="5" l="1"/>
  <c r="H19" i="5"/>
  <c r="H18" i="5"/>
  <c r="H17" i="5"/>
  <c r="H16" i="5"/>
  <c r="H15" i="5"/>
  <c r="H13" i="5"/>
  <c r="H12" i="5"/>
  <c r="H10" i="5"/>
  <c r="H9" i="5"/>
  <c r="L11" i="5" l="1"/>
  <c r="H11" i="5"/>
  <c r="G11" i="5"/>
  <c r="M8" i="5"/>
  <c r="L8" i="5"/>
  <c r="H8" i="5"/>
  <c r="G8" i="5"/>
  <c r="L5" i="5"/>
  <c r="H5" i="5"/>
  <c r="G5" i="5"/>
  <c r="L20" i="5" l="1"/>
  <c r="G20" i="5"/>
  <c r="H20" i="5"/>
  <c r="M13" i="5"/>
  <c r="M11" i="5" s="1"/>
  <c r="M18" i="5"/>
  <c r="M19" i="5" l="1"/>
  <c r="M17" i="5"/>
  <c r="M16" i="5"/>
  <c r="M15" i="5"/>
  <c r="M14" i="5"/>
  <c r="M6" i="5"/>
  <c r="M5" i="5" s="1"/>
  <c r="M20" i="5" l="1"/>
  <c r="C18" i="5"/>
  <c r="D11" i="5" l="1"/>
  <c r="F11" i="5"/>
  <c r="D8" i="5"/>
  <c r="F8" i="5"/>
  <c r="F5" i="5"/>
  <c r="F20" i="5" l="1"/>
  <c r="E19" i="5"/>
  <c r="E18" i="5"/>
  <c r="E17" i="5"/>
  <c r="E16" i="5"/>
  <c r="E15" i="5"/>
  <c r="E13" i="5"/>
  <c r="E12" i="5"/>
  <c r="E11" i="5" s="1"/>
  <c r="C11" i="5"/>
  <c r="E10" i="5"/>
  <c r="E9" i="5"/>
  <c r="E8" i="5" s="1"/>
  <c r="C8" i="5"/>
  <c r="E6" i="5"/>
  <c r="E5" i="5" s="1"/>
  <c r="D5" i="5"/>
  <c r="D20" i="5" s="1"/>
  <c r="C5" i="5"/>
  <c r="C20" i="5" l="1"/>
  <c r="E20" i="5" l="1"/>
  <c r="J5" i="5"/>
  <c r="K5" i="5"/>
  <c r="I5" i="5"/>
  <c r="I8" i="5"/>
  <c r="K8" i="5"/>
  <c r="J8" i="5"/>
  <c r="I11" i="5"/>
  <c r="I20" i="5" s="1"/>
  <c r="K11" i="5"/>
  <c r="J11" i="5"/>
  <c r="K20" i="5" l="1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<sst xmlns="http://schemas.openxmlformats.org/spreadsheetml/2006/main" count="45" uniqueCount="28">
  <si>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</si>
  <si>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</si>
  <si>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</si>
  <si>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</si>
  <si>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</si>
  <si>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</si>
  <si>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</si>
  <si>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</si>
  <si>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</si>
  <si>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</si>
  <si>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</si>
  <si>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</si>
  <si>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</si>
  <si>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</si>
  <si>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</si>
  <si>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</si>
  <si>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</si>
  <si>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</si>
  <si>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</si>
  <si>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</si>
  <si>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</si>
  <si>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31.12.2019</t>
  </si>
  <si>
    <t>Получени средства от ЕК на основание изпратени заявления за плащане към 31.12.2019</t>
  </si>
  <si>
    <t>Общо получени средства от ЕК към 31.12.2019</t>
  </si>
  <si>
    <t>Платено към  31.12.2019</t>
  </si>
  <si>
    <t>Общо платено към  31.12.2019</t>
  </si>
  <si>
    <t>Обща сума на публичните разходи, декларирани пред ЕК със Заявления за плащане 
към 31.12.2019</t>
  </si>
  <si>
    <t>Обща сума на публичните разходи, сертифицрани пред ЕК с Годишни счетоводни отчети 
към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</si>
</sst>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2" fontId="5" fillId="2" borderId="1" xfId="1" applyNumberFormat="1" applyFont="1" applyFill="1" applyBorder="1" applyAlignment="1">
      <alignment horizontal="right" vertical="center"/>
    </xf>
    <xf numFmtId="170" fontId="7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/>
    </xf>
    <xf numFmtId="170" fontId="7" fillId="2" borderId="1" xfId="1" applyNumberFormat="1" applyFont="1" applyFill="1" applyBorder="1" applyAlignment="1">
      <alignment horizontal="right" vertical="center"/>
    </xf>
    <xf numFmtId="168" fontId="4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70" fontId="4" fillId="2" borderId="1" xfId="1" applyNumberFormat="1" applyFont="1" applyFill="1" applyBorder="1" applyAlignment="1">
      <alignment horizontal="right" vertical="center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1" sqref="L21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23.2851562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41" customWidth="1"/>
    <col min="10" max="10" width="17.140625" style="41" customWidth="1"/>
    <col min="11" max="11" width="18.28515625" style="3" customWidth="1"/>
    <col min="12" max="12" width="20.5703125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4"/>
      <c r="D1" s="24"/>
      <c r="E1" s="24"/>
      <c r="F1" s="24"/>
      <c r="G1" s="24"/>
      <c r="H1" s="24"/>
      <c r="I1" s="32"/>
      <c r="J1" s="32"/>
    </row>
    <row r="2" spans="1:20" s="8" customFormat="1" ht="12.75" customHeight="1" x14ac:dyDescent="0.2">
      <c r="A2" s="56" t="s">
        <v>0</v>
      </c>
      <c r="B2" s="56" t="s">
        <v>1</v>
      </c>
      <c r="C2" s="52" t="s">
        <v>18</v>
      </c>
      <c r="D2" s="59" t="s">
        <v>19</v>
      </c>
      <c r="E2" s="52" t="s">
        <v>20</v>
      </c>
      <c r="F2" s="52" t="s">
        <v>21</v>
      </c>
      <c r="G2" s="52" t="s">
        <v>22</v>
      </c>
      <c r="H2" s="52" t="s">
        <v>23</v>
      </c>
      <c r="I2" s="61" t="s">
        <v>24</v>
      </c>
      <c r="J2" s="62"/>
      <c r="K2" s="52" t="s">
        <v>25</v>
      </c>
      <c r="L2" s="63" t="s">
        <v>26</v>
      </c>
      <c r="M2" s="52" t="s">
        <v>27</v>
      </c>
    </row>
    <row r="3" spans="1:20" s="8" customFormat="1" ht="84.75" customHeight="1" x14ac:dyDescent="0.2">
      <c r="A3" s="57"/>
      <c r="B3" s="57"/>
      <c r="C3" s="58"/>
      <c r="D3" s="60"/>
      <c r="E3" s="58"/>
      <c r="F3" s="58"/>
      <c r="G3" s="58"/>
      <c r="H3" s="58"/>
      <c r="I3" s="33" t="s">
        <v>2</v>
      </c>
      <c r="J3" s="33" t="s">
        <v>5</v>
      </c>
      <c r="K3" s="53"/>
      <c r="L3" s="64"/>
      <c r="M3" s="53"/>
    </row>
    <row r="4" spans="1:20" s="8" customFormat="1" ht="18.75" customHeight="1" x14ac:dyDescent="0.2">
      <c r="A4" s="9">
        <v>1</v>
      </c>
      <c r="B4" s="23">
        <v>2</v>
      </c>
      <c r="C4" s="25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34">
        <v>9</v>
      </c>
      <c r="J4" s="35">
        <v>10</v>
      </c>
      <c r="K4" s="25">
        <v>11</v>
      </c>
      <c r="L4" s="35">
        <v>12</v>
      </c>
      <c r="M4" s="25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26">
        <f>C6+C7</f>
        <v>1604449168</v>
      </c>
      <c r="D5" s="26">
        <f>D6+D7</f>
        <v>283138092</v>
      </c>
      <c r="E5" s="26">
        <f t="shared" ref="E5:M5" si="0">E6+E7</f>
        <v>1887587260</v>
      </c>
      <c r="F5" s="36">
        <f t="shared" si="0"/>
        <v>111966236.22999999</v>
      </c>
      <c r="G5" s="36">
        <f t="shared" si="0"/>
        <v>426714190.82000005</v>
      </c>
      <c r="H5" s="36">
        <f t="shared" si="0"/>
        <v>538680427.04999995</v>
      </c>
      <c r="I5" s="36">
        <f t="shared" si="0"/>
        <v>637703973.94390643</v>
      </c>
      <c r="J5" s="36">
        <f t="shared" si="0"/>
        <v>112535995.40186583</v>
      </c>
      <c r="K5" s="26">
        <f>K6+K7</f>
        <v>750239969.34577227</v>
      </c>
      <c r="L5" s="36">
        <f t="shared" si="0"/>
        <v>555267819.16881657</v>
      </c>
      <c r="M5" s="26">
        <f t="shared" si="0"/>
        <v>297586363.59070355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42">
        <v>459761907</v>
      </c>
      <c r="D6" s="42">
        <v>81134456</v>
      </c>
      <c r="E6" s="37">
        <f>+C6+D6</f>
        <v>540896363</v>
      </c>
      <c r="F6" s="37">
        <f>33105127.97+6324688</f>
        <v>39429815.969999999</v>
      </c>
      <c r="G6" s="37">
        <f>218928923.24+12811688.24+10940186.05</f>
        <v>242680797.53000003</v>
      </c>
      <c r="H6" s="37">
        <f>F6+G6</f>
        <v>282110613.5</v>
      </c>
      <c r="I6" s="37">
        <f>K6-J6</f>
        <v>324688133.17633879</v>
      </c>
      <c r="J6" s="51">
        <f>K6*15%</f>
        <v>57297905.854648016</v>
      </c>
      <c r="K6" s="37">
        <v>381986039.03098679</v>
      </c>
      <c r="L6" s="37">
        <f>285679947.397342+32754378.95/1.9558+27969694.03/1.9558</f>
        <v>316728149.14598709</v>
      </c>
      <c r="M6" s="37">
        <f>98656531.13+138917563.52/1.9558</f>
        <v>169685043.0023796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42">
        <v>1144687261</v>
      </c>
      <c r="D7" s="42">
        <v>202003636</v>
      </c>
      <c r="E7" s="37">
        <v>1346690897</v>
      </c>
      <c r="F7" s="37">
        <v>72536420.25999999</v>
      </c>
      <c r="G7" s="37">
        <f>176064173.58+7825488.07+143731.64</f>
        <v>184033393.28999999</v>
      </c>
      <c r="H7" s="37">
        <f>F7+G7</f>
        <v>256569813.54999998</v>
      </c>
      <c r="I7" s="37">
        <f>K7-J7</f>
        <v>313015840.76756763</v>
      </c>
      <c r="J7" s="51">
        <f>K7*15%</f>
        <v>55238089.547217809</v>
      </c>
      <c r="K7" s="37">
        <v>368253930.31478542</v>
      </c>
      <c r="L7" s="37">
        <f>228122389.355072+20006653.05/1.9558+367464.48/1.9558</f>
        <v>238539670.02282944</v>
      </c>
      <c r="M7" s="37">
        <v>127901320.58832397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26">
        <f>C9+C10</f>
        <v>1504824141</v>
      </c>
      <c r="D8" s="26">
        <f t="shared" ref="D8:M8" si="1">D9+D10</f>
        <v>265557204</v>
      </c>
      <c r="E8" s="26">
        <f t="shared" si="1"/>
        <v>1770381345</v>
      </c>
      <c r="F8" s="36">
        <f t="shared" si="1"/>
        <v>91164511.430000007</v>
      </c>
      <c r="G8" s="36">
        <f t="shared" si="1"/>
        <v>236831464.57000002</v>
      </c>
      <c r="H8" s="36">
        <f t="shared" si="1"/>
        <v>327995976</v>
      </c>
      <c r="I8" s="36">
        <f t="shared" si="1"/>
        <v>406750393.78273153</v>
      </c>
      <c r="J8" s="36">
        <f t="shared" si="1"/>
        <v>71779481.255776152</v>
      </c>
      <c r="K8" s="36">
        <f t="shared" si="1"/>
        <v>478529875.0385077</v>
      </c>
      <c r="L8" s="36">
        <f t="shared" si="1"/>
        <v>418494984.61863363</v>
      </c>
      <c r="M8" s="26">
        <f t="shared" si="1"/>
        <v>97725777.545104817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27">
        <v>371204258</v>
      </c>
      <c r="D9" s="27">
        <v>65506635</v>
      </c>
      <c r="E9" s="28">
        <f t="shared" ref="E9:E10" si="2">+C9+D9</f>
        <v>436710893</v>
      </c>
      <c r="F9" s="37">
        <f>21007511.39+773095.73</f>
        <v>21780607.120000001</v>
      </c>
      <c r="G9" s="43">
        <f>48553778.34+3342740.94+3940639.14+2131465.32</f>
        <v>57968623.740000002</v>
      </c>
      <c r="H9" s="37">
        <f>F9+G9</f>
        <v>79749230.859999999</v>
      </c>
      <c r="I9" s="45">
        <f t="shared" ref="I9:I13" si="3">K9-J9</f>
        <v>80627230.022132739</v>
      </c>
      <c r="J9" s="46">
        <f t="shared" ref="J9:J13" si="4">K9*15%</f>
        <v>14228334.709788131</v>
      </c>
      <c r="K9" s="45">
        <v>94855564.731920868</v>
      </c>
      <c r="L9" s="37">
        <f>67838362.7789088+10074643.21/1.9558+7058175.18</f>
        <v>80047700.250554174</v>
      </c>
      <c r="M9" s="28">
        <f>11106979.35+7752577.57/1.9558</f>
        <v>15070870.121039983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27">
        <v>1133619883</v>
      </c>
      <c r="D10" s="27">
        <v>200050569</v>
      </c>
      <c r="E10" s="28">
        <f t="shared" si="2"/>
        <v>1333670452</v>
      </c>
      <c r="F10" s="37">
        <f>63051041.76+6332862.55</f>
        <v>69383904.310000002</v>
      </c>
      <c r="G10" s="43">
        <f>155108172.68+9098886.72+6814270.81+7841510.62</f>
        <v>178862840.83000001</v>
      </c>
      <c r="H10" s="37">
        <f>F10+G10</f>
        <v>248246745.14000002</v>
      </c>
      <c r="I10" s="45">
        <f t="shared" si="3"/>
        <v>326123163.76059878</v>
      </c>
      <c r="J10" s="46">
        <f t="shared" si="4"/>
        <v>57551146.545988016</v>
      </c>
      <c r="K10" s="45">
        <v>383674310.3065868</v>
      </c>
      <c r="L10" s="37">
        <f>214328285.835795+17421373.66/1.9558+115211454.99</f>
        <v>338447284.36807948</v>
      </c>
      <c r="M10" s="28">
        <f>23431712.67+115828724.3/1.9558</f>
        <v>82654907.42406483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26">
        <f>C12+C13</f>
        <v>552540872</v>
      </c>
      <c r="D11" s="26">
        <f t="shared" ref="D11:M11" si="5">D12+D13</f>
        <v>97507215</v>
      </c>
      <c r="E11" s="26">
        <f t="shared" si="5"/>
        <v>650048087</v>
      </c>
      <c r="F11" s="36">
        <f t="shared" si="5"/>
        <v>33890930.167500004</v>
      </c>
      <c r="G11" s="36">
        <f t="shared" si="5"/>
        <v>108459299.38000001</v>
      </c>
      <c r="H11" s="36">
        <f t="shared" si="5"/>
        <v>142350229.54750001</v>
      </c>
      <c r="I11" s="36">
        <f t="shared" si="5"/>
        <v>217668944.87167364</v>
      </c>
      <c r="J11" s="36">
        <f t="shared" si="5"/>
        <v>38412166.74206005</v>
      </c>
      <c r="K11" s="36">
        <f t="shared" si="5"/>
        <v>256081111.61373368</v>
      </c>
      <c r="L11" s="36">
        <f t="shared" si="5"/>
        <v>175247064.03136969</v>
      </c>
      <c r="M11" s="26">
        <f t="shared" si="5"/>
        <v>25578835.080274057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27">
        <v>199921329</v>
      </c>
      <c r="D12" s="27">
        <v>35280235</v>
      </c>
      <c r="E12" s="28">
        <f t="shared" ref="E12:E20" si="6">+C12+D12</f>
        <v>235201564</v>
      </c>
      <c r="F12" s="37">
        <f>12266222.0075</f>
        <v>12266222.0075</v>
      </c>
      <c r="G12" s="43">
        <v>10111846.859999999</v>
      </c>
      <c r="H12" s="37">
        <f t="shared" ref="H12:H19" si="7">F12+G12</f>
        <v>22378068.8675</v>
      </c>
      <c r="I12" s="45">
        <f t="shared" si="3"/>
        <v>57640273.937715307</v>
      </c>
      <c r="J12" s="49">
        <f t="shared" si="4"/>
        <v>10171813.047832113</v>
      </c>
      <c r="K12" s="45">
        <v>67812086.985547423</v>
      </c>
      <c r="L12" s="65">
        <v>30859336.48</v>
      </c>
      <c r="M12" s="29">
        <v>0</v>
      </c>
      <c r="N12" s="12"/>
      <c r="O12" s="12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27">
        <v>352619543</v>
      </c>
      <c r="D13" s="27">
        <v>62226980</v>
      </c>
      <c r="E13" s="28">
        <f t="shared" si="6"/>
        <v>414846523</v>
      </c>
      <c r="F13" s="37">
        <f>19059752.41+2564955.75</f>
        <v>21624708.16</v>
      </c>
      <c r="G13" s="43">
        <f>87183594.78+1593236.14+3689375.84+5881245.76</f>
        <v>98347452.520000011</v>
      </c>
      <c r="H13" s="37">
        <f t="shared" si="7"/>
        <v>119972160.68000001</v>
      </c>
      <c r="I13" s="45">
        <f t="shared" si="3"/>
        <v>160028670.93395832</v>
      </c>
      <c r="J13" s="46">
        <f t="shared" si="4"/>
        <v>28240353.694227938</v>
      </c>
      <c r="K13" s="45">
        <v>188269024.62818626</v>
      </c>
      <c r="L13" s="37">
        <f>116017311.846814+9432263.17/1.9558+23547702.15</f>
        <v>144387727.5513697</v>
      </c>
      <c r="M13" s="28">
        <f>50027085.65/1.9558</f>
        <v>25578835.080274057</v>
      </c>
      <c r="N13" s="12"/>
      <c r="O13" s="12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26">
        <v>1311704793</v>
      </c>
      <c r="D14" s="26">
        <v>231477320</v>
      </c>
      <c r="E14" s="26">
        <v>1543182113</v>
      </c>
      <c r="F14" s="36">
        <f>74417502.8+8589859.95</f>
        <v>83007362.75</v>
      </c>
      <c r="G14" s="36">
        <f>299553272.98+24385188.41+20036709.51+15577785.83</f>
        <v>359552956.73000002</v>
      </c>
      <c r="H14" s="36">
        <f t="shared" si="7"/>
        <v>442560319.48000002</v>
      </c>
      <c r="I14" s="44">
        <f t="shared" ref="I14" si="8">K14-J14</f>
        <v>675179789.64696121</v>
      </c>
      <c r="J14" s="47">
        <f t="shared" ref="J14" si="9">K14*15%</f>
        <v>119149374.64358139</v>
      </c>
      <c r="K14" s="44">
        <v>794329164.2905426</v>
      </c>
      <c r="L14" s="36">
        <f>421776284.390019+51225877.85/1.9558+20363118.78</f>
        <v>468331180.37116432</v>
      </c>
      <c r="M14" s="26">
        <f>56363297.09+162381786.29/1.9558</f>
        <v>139389059.58616525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26">
        <v>938665315</v>
      </c>
      <c r="D15" s="26">
        <v>153582762</v>
      </c>
      <c r="E15" s="26">
        <f t="shared" si="6"/>
        <v>1092248077</v>
      </c>
      <c r="F15" s="36">
        <v>90571495.789999992</v>
      </c>
      <c r="G15" s="36">
        <f>348324786.54+9334442.54+1050079.48+44741868.86+3230508.78</f>
        <v>406681686.20000005</v>
      </c>
      <c r="H15" s="36">
        <f t="shared" si="7"/>
        <v>497253181.99000001</v>
      </c>
      <c r="I15" s="48">
        <v>535581812.78874338</v>
      </c>
      <c r="J15" s="48">
        <v>86096240.302010968</v>
      </c>
      <c r="K15" s="48">
        <v>621678053.09075427</v>
      </c>
      <c r="L15" s="36">
        <f>462173616.801308+68316064.26/1.9558+26685364.65</f>
        <v>523788966.24525416</v>
      </c>
      <c r="M15" s="26">
        <f>130663671.3+(219545983.91+36770765.1)/1.9558</f>
        <v>261718354.29928416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17</v>
      </c>
      <c r="B16" s="11" t="s">
        <v>3</v>
      </c>
      <c r="C16" s="26">
        <v>1123075325</v>
      </c>
      <c r="D16" s="26">
        <v>198189765</v>
      </c>
      <c r="E16" s="26">
        <f t="shared" si="6"/>
        <v>1321265090</v>
      </c>
      <c r="F16" s="36">
        <f>76213076.12625+11882118.65</f>
        <v>88095194.776250005</v>
      </c>
      <c r="G16" s="36">
        <f>403357120.42+21370038.91+12624338.62</f>
        <v>437351497.95000005</v>
      </c>
      <c r="H16" s="36">
        <f t="shared" si="7"/>
        <v>525446692.72625005</v>
      </c>
      <c r="I16" s="44">
        <f t="shared" ref="I16" si="10">K16-J16</f>
        <v>524441028.72143817</v>
      </c>
      <c r="J16" s="47">
        <f t="shared" ref="J16" si="11">K16*15%</f>
        <v>92548416.833194971</v>
      </c>
      <c r="K16" s="36">
        <v>616989445.55463314</v>
      </c>
      <c r="L16" s="36">
        <f>550933571.924532+32275400.66/1.9558</f>
        <v>567435975.37069225</v>
      </c>
      <c r="M16" s="26">
        <f>205479323.49+262668803.8/1.9558</f>
        <v>339781810.3495971</v>
      </c>
      <c r="N16" s="12"/>
      <c r="O16" s="19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26">
        <v>102000000</v>
      </c>
      <c r="D17" s="26">
        <v>0</v>
      </c>
      <c r="E17" s="26">
        <f t="shared" si="6"/>
        <v>102000000</v>
      </c>
      <c r="F17" s="36">
        <v>6502500</v>
      </c>
      <c r="G17" s="36">
        <v>95497500</v>
      </c>
      <c r="H17" s="36">
        <f t="shared" si="7"/>
        <v>102000000</v>
      </c>
      <c r="I17" s="44">
        <v>102000000</v>
      </c>
      <c r="J17" s="47">
        <v>0</v>
      </c>
      <c r="K17" s="50">
        <v>102000000</v>
      </c>
      <c r="L17" s="36">
        <v>102001564.56999999</v>
      </c>
      <c r="M17" s="26">
        <f>95335762.33+13036976.03/1.9558</f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26">
        <f>285531663-1500000</f>
        <v>284031663</v>
      </c>
      <c r="D18" s="26">
        <v>50123236</v>
      </c>
      <c r="E18" s="26">
        <f t="shared" si="6"/>
        <v>334154899</v>
      </c>
      <c r="F18" s="36">
        <f>16182582.485+1494522.74</f>
        <v>17677105.224999998</v>
      </c>
      <c r="G18" s="36">
        <f>46794960.02+3150798.83+3740141.41</f>
        <v>53685900.260000005</v>
      </c>
      <c r="H18" s="36">
        <f t="shared" si="7"/>
        <v>71363005.484999999</v>
      </c>
      <c r="I18" s="44">
        <f t="shared" ref="I18:I19" si="12">K18-J18</f>
        <v>78620676.258822516</v>
      </c>
      <c r="J18" s="47">
        <f t="shared" ref="J18:J19" si="13">K18*15%</f>
        <v>13874236.986851033</v>
      </c>
      <c r="K18" s="50">
        <v>92494913.245673552</v>
      </c>
      <c r="L18" s="36">
        <f>65250785.6682687+9562050.49/1.9558+16061282.04</f>
        <v>86201141.483705848</v>
      </c>
      <c r="M18" s="26">
        <f>6606576.12+27687042.08/1.9558</f>
        <v>20762953.091060434</v>
      </c>
      <c r="N18" s="12"/>
      <c r="O18" s="12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26">
        <v>104815264</v>
      </c>
      <c r="D19" s="26">
        <v>18496812</v>
      </c>
      <c r="E19" s="26">
        <f t="shared" si="6"/>
        <v>123312076</v>
      </c>
      <c r="F19" s="36">
        <v>11529679.040000001</v>
      </c>
      <c r="G19" s="36">
        <f>58306319.23+4318510.55+4354658.23</f>
        <v>66979488.00999999</v>
      </c>
      <c r="H19" s="36">
        <f t="shared" si="7"/>
        <v>78509167.049999997</v>
      </c>
      <c r="I19" s="44">
        <f t="shared" si="12"/>
        <v>82544441.947762445</v>
      </c>
      <c r="J19" s="47">
        <f t="shared" si="13"/>
        <v>14566666.226075726</v>
      </c>
      <c r="K19" s="50">
        <v>97111108.173838168</v>
      </c>
      <c r="L19" s="36">
        <f>71391560.7765242+11040709.79/1.9558+5692363.72</f>
        <v>82729036.363790795</v>
      </c>
      <c r="M19" s="26">
        <f>28256914.94+29680710.41/1.9558</f>
        <v>43432653.977733925</v>
      </c>
      <c r="N19" s="12"/>
      <c r="O19" s="12"/>
      <c r="P19" s="12"/>
      <c r="Q19" s="12"/>
      <c r="R19" s="16"/>
      <c r="S19" s="17"/>
    </row>
    <row r="20" spans="1:19" s="13" customFormat="1" ht="36" customHeight="1" x14ac:dyDescent="0.25">
      <c r="A20" s="54" t="s">
        <v>4</v>
      </c>
      <c r="B20" s="55"/>
      <c r="C20" s="26">
        <f>+C5+C8+C11+C14+C15+C16+C17+C18+C19</f>
        <v>7526106541</v>
      </c>
      <c r="D20" s="26">
        <f>+D5+D8+D11+D14+D15+D16+D17+D18+D19</f>
        <v>1298072406</v>
      </c>
      <c r="E20" s="26">
        <f t="shared" si="6"/>
        <v>8824178947</v>
      </c>
      <c r="F20" s="36">
        <f t="shared" ref="F20:M20" si="14">+F5+F8+F11+F14+F15+F16+F17+F18+F19</f>
        <v>534405015.40875</v>
      </c>
      <c r="G20" s="36">
        <f t="shared" si="14"/>
        <v>2191753983.9200001</v>
      </c>
      <c r="H20" s="36">
        <f>+H5+H8+H11+H14+H15+H16+H17+H18+H19</f>
        <v>2726158999.3287501</v>
      </c>
      <c r="I20" s="36">
        <f>+I5+I8+I11+I14+I15+I16+I17+I18+I19</f>
        <v>3260491061.962039</v>
      </c>
      <c r="J20" s="36">
        <f t="shared" si="14"/>
        <v>548962578.39141607</v>
      </c>
      <c r="K20" s="36">
        <f>+K5+K8+K11+K14+K15+K16+K17+K18+K19</f>
        <v>3809453640.3534555</v>
      </c>
      <c r="L20" s="36">
        <f t="shared" si="14"/>
        <v>2979497732.2234278</v>
      </c>
      <c r="M20" s="26">
        <f t="shared" si="14"/>
        <v>1327977372.0945289</v>
      </c>
      <c r="N20" s="12"/>
      <c r="O20" s="12"/>
      <c r="P20" s="12"/>
      <c r="Q20" s="12"/>
      <c r="R20" s="16"/>
      <c r="S20" s="3"/>
    </row>
    <row r="21" spans="1:19" s="13" customFormat="1" ht="29.25" customHeight="1" x14ac:dyDescent="0.2">
      <c r="A21" s="6"/>
      <c r="B21" s="6"/>
      <c r="C21" s="1"/>
      <c r="D21" s="1"/>
      <c r="E21" s="1"/>
      <c r="F21" s="1"/>
      <c r="G21" s="1"/>
      <c r="H21" s="1"/>
      <c r="I21" s="38"/>
      <c r="J21" s="38"/>
      <c r="K21" s="1"/>
      <c r="L21" s="1"/>
      <c r="M21" s="1"/>
      <c r="N21" s="22"/>
      <c r="O21" s="22"/>
      <c r="P21" s="12"/>
      <c r="Q21" s="12"/>
    </row>
    <row r="22" spans="1:19" s="13" customFormat="1" ht="29.25" customHeight="1" x14ac:dyDescent="0.2">
      <c r="A22" s="6"/>
      <c r="B22" s="6"/>
      <c r="C22" s="1"/>
      <c r="D22" s="1"/>
      <c r="E22" s="1"/>
      <c r="F22" s="1"/>
      <c r="G22" s="1"/>
      <c r="H22" s="1"/>
      <c r="I22" s="38"/>
      <c r="J22" s="38"/>
      <c r="K22" s="1"/>
      <c r="L22" s="1"/>
      <c r="M22" s="1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39"/>
      <c r="J23" s="38"/>
      <c r="K23" s="1"/>
      <c r="L23" s="30"/>
      <c r="M23" s="30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40"/>
      <c r="J24" s="38"/>
      <c r="K24" s="1"/>
      <c r="L24" s="31"/>
      <c r="M24" s="31"/>
    </row>
    <row r="25" spans="1:19" s="13" customFormat="1" ht="29.25" customHeight="1" x14ac:dyDescent="0.2">
      <c r="A25" s="6"/>
      <c r="B25" s="6"/>
      <c r="C25" s="1"/>
      <c r="D25" s="1"/>
      <c r="E25" s="1"/>
      <c r="F25" s="1"/>
      <c r="G25" s="1"/>
      <c r="H25" s="1"/>
      <c r="I25" s="40"/>
      <c r="J25" s="38"/>
      <c r="K25" s="1"/>
      <c r="L25" s="31"/>
      <c r="M25" s="31"/>
    </row>
    <row r="26" spans="1:19" s="13" customFormat="1" ht="29.25" customHeight="1" x14ac:dyDescent="0.2">
      <c r="A26" s="6"/>
      <c r="B26" s="6"/>
      <c r="C26" s="1"/>
      <c r="D26" s="1"/>
      <c r="E26" s="1"/>
      <c r="F26" s="1"/>
      <c r="G26" s="1"/>
      <c r="H26" s="1"/>
      <c r="I26" s="40"/>
      <c r="J26" s="38"/>
      <c r="K26" s="1"/>
      <c r="L26" s="31"/>
      <c r="M26" s="31"/>
    </row>
    <row r="27" spans="1:19" s="13" customFormat="1" ht="29.25" customHeight="1" x14ac:dyDescent="0.25">
      <c r="A27" s="6"/>
      <c r="B27" s="6"/>
      <c r="C27" s="2"/>
      <c r="D27" s="2"/>
      <c r="E27" s="2"/>
      <c r="F27" s="2"/>
      <c r="G27" s="2"/>
      <c r="H27" s="2"/>
      <c r="I27" s="41"/>
      <c r="J27" s="41"/>
      <c r="K27" s="4"/>
      <c r="L27" s="31"/>
      <c r="M27" s="31"/>
    </row>
    <row r="28" spans="1:19" s="13" customFormat="1" ht="29.25" customHeight="1" x14ac:dyDescent="0.25">
      <c r="A28" s="6"/>
      <c r="B28" s="6"/>
      <c r="C28" s="2"/>
      <c r="D28" s="2"/>
      <c r="E28" s="2"/>
      <c r="F28" s="2"/>
      <c r="G28" s="2"/>
      <c r="H28" s="2"/>
      <c r="I28" s="41"/>
      <c r="J28" s="41"/>
      <c r="K28" s="5"/>
      <c r="L28" s="31"/>
      <c r="M28" s="31"/>
    </row>
    <row r="29" spans="1:19" x14ac:dyDescent="0.25">
      <c r="K29" s="5"/>
    </row>
    <row r="30" spans="1:19" x14ac:dyDescent="0.25">
      <c r="K30" s="5"/>
    </row>
    <row r="31" spans="1:19" x14ac:dyDescent="0.25">
      <c r="K31" s="5"/>
    </row>
    <row r="32" spans="1:19" x14ac:dyDescent="0.25">
      <c r="K32" s="5"/>
    </row>
    <row r="33" spans="11:11" x14ac:dyDescent="0.25">
      <c r="K33" s="5"/>
    </row>
    <row r="34" spans="11:11" x14ac:dyDescent="0.25">
      <c r="K34" s="5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3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2020-01-29T15:08:43Z</dcterms:modified>
</cp:coreProperties>
</file>