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885" yWindow="660" windowWidth="14910" windowHeight="8505" activeTab="0"/>
  </bookViews>
  <sheets>
    <sheet name="December 2016" sheetId="4" r:id="rId1"/>
  </sheets>
  <definedNames/>
  <calcPr calcId="145621"/>
</workbook>
</file>

<file path=xl/sharedStrings.xml><?xml version="1.0" encoding="utf-8"?>
<sst xmlns="http://schemas.openxmlformats.org/spreadsheetml/2006/main" count="76" uniqueCount="67">
  <si>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</si>
  <si>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</si>
  <si>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</si>
  <si>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</si>
  <si>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</si>
  <si>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</si>
  <si>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</si>
  <si>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</si>
  <si>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</si>
  <si>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</si>
  <si>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</si>
  <si>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</si>
  <si>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</si>
  <si>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BG01 &amp; BG11</t>
  </si>
  <si>
    <t>BG02 &amp; BG03</t>
  </si>
  <si>
    <t>BG12 &amp; BG13</t>
  </si>
  <si>
    <t>BG14 &amp; BG15</t>
  </si>
  <si>
    <t>Technical Assistance &amp; Bilateral Funds at National Level</t>
  </si>
  <si>
    <t>Integrated Marine and Inland Water Management</t>
  </si>
  <si>
    <t>Biodiversity and Ecosystem Services</t>
  </si>
  <si>
    <t>Energy Efficiency and Renewable Energy</t>
  </si>
  <si>
    <t>Children and Youth at Risk</t>
  </si>
  <si>
    <t>Public Health Initiatives (EEA and Norwegian FM)</t>
  </si>
  <si>
    <t>Cultural Heritage and Contemporary Arts</t>
  </si>
  <si>
    <t>EEA Scholarship Programme</t>
  </si>
  <si>
    <t>Capacity-building and Institutional Co-operation</t>
  </si>
  <si>
    <t>Domestic and Gender-base Violence</t>
  </si>
  <si>
    <t>Judicial Capacity-building and Cooperation/Improvement of the Efficiency of Justice</t>
  </si>
  <si>
    <t>Correctional Services including Non-custodial Sanctions</t>
  </si>
  <si>
    <t>BG06 &amp; BG09</t>
  </si>
  <si>
    <t>TOTAL FOR ALL PROGRAMMES:</t>
  </si>
  <si>
    <t>EEA</t>
  </si>
  <si>
    <t>NFM</t>
  </si>
  <si>
    <t>TOTAL FOR PROGRAMME OPERATOR MINISTRY OF HEALTHCARE:</t>
  </si>
  <si>
    <t>TOTAL FOR PROGRAMME OPERATOR MINISTRY OF CULTURE:</t>
  </si>
  <si>
    <t>TOTAL FOR PROGRAMME OPERATOR MINISTRY OF INTERIOR:</t>
  </si>
  <si>
    <t>TOTAL FOR PROGRAMME OPERATOR MINISTRY OF JUSTICE:</t>
  </si>
  <si>
    <t>Council of Ministers</t>
  </si>
  <si>
    <t>Ministry of Healthcare</t>
  </si>
  <si>
    <t>Ministry of Culture</t>
  </si>
  <si>
    <t>Ministry of Interior</t>
  </si>
  <si>
    <t>Ministry of Justice</t>
  </si>
  <si>
    <t>9=8/7*100</t>
  </si>
  <si>
    <t>CUT OFF DATE:</t>
  </si>
  <si>
    <t>% PAID TO BUDGET</t>
  </si>
  <si>
    <t>Schengen Cooperation and Combating Cross-border and Organized Crime, including Trafficking and Itinerant Criminal Groups</t>
  </si>
  <si>
    <t>Nat. Cofin.</t>
  </si>
  <si>
    <t>The information is in EURO</t>
  </si>
  <si>
    <t>% RECEIVED TRANCHES TO BUDGET EEA &amp; NFM</t>
  </si>
  <si>
    <t>PROGRAMME OPERATOR</t>
  </si>
  <si>
    <t>HEADING OF THE PROGRAMME</t>
  </si>
  <si>
    <t>PROGRAMME №</t>
  </si>
  <si>
    <t>BUDGET</t>
  </si>
  <si>
    <t>PAID</t>
  </si>
  <si>
    <t>TRANCHES RECEIVED</t>
  </si>
  <si>
    <t>TOTAL</t>
  </si>
  <si>
    <t>ADVANCE</t>
  </si>
  <si>
    <t>INTERIM</t>
  </si>
  <si>
    <t>13=12/(4+5)</t>
  </si>
  <si>
    <t>FINANCIAL IMPLEMENTATION OF PROJECTS UNDER EUROPEAN ECONOMIC AREA (EEA) FINANCIAL MECHANISM (2009 - 2014 ) AND NORWEGIAN FINANCIAL MECHANISM (2009 - 2014 )</t>
  </si>
  <si>
    <t>Ministry of Education and Science</t>
  </si>
  <si>
    <t>Ministry of Environment and Water</t>
  </si>
  <si>
    <t>Ministry of Energy</t>
  </si>
  <si>
    <t>TOTAL FOR PROGRAMME OPERATOR MINISTRY OF ENVIRONMENT AND WATER:</t>
  </si>
  <si>
    <t>TOTAL FOR PROGRAMME OPERATOR COUNCIL OF MINISTER:</t>
  </si>
  <si>
    <t>TOTAL FOR PROGRAMME OPERATOR MINISTRY OF ENERGY :</t>
  </si>
  <si>
    <t>TOTAL FOR PROGRAMME OPERATOR MINISTRY OF EDUCATION AND SCIENCE: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</si>
</sst>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9"/>
      <name val="Bookman Old Style"/>
      <family val="1"/>
    </font>
    <font>
      <sz val="9"/>
      <name val="Times New Roman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0"/>
      <color theme="1"/>
      <name val="Tahoma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/>
    <xf numFmtId="0" fontId="8" fillId="0" borderId="1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left" vertical="top" wrapText="1"/>
      <protection/>
    </xf>
    <xf numFmtId="0" fontId="5" fillId="0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2" borderId="6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 horizontal="right"/>
      <protection/>
    </xf>
    <xf numFmtId="14" fontId="0" fillId="2" borderId="6" xfId="0" applyNumberFormat="1" applyFill="1" applyBorder="1" applyAlignment="1" applyProtection="1">
      <alignment horizontal="left"/>
      <protection locked="0"/>
    </xf>
    <xf numFmtId="14" fontId="0" fillId="2" borderId="6" xfId="0" applyNumberForma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2" fillId="2" borderId="1" xfId="20" applyFont="1" applyFill="1" applyBorder="1" applyAlignment="1" applyProtection="1">
      <alignment horizontal="center" vertical="top" wrapText="1"/>
      <protection/>
    </xf>
    <xf numFmtId="0" fontId="0" fillId="2" borderId="8" xfId="0" applyFill="1" applyBorder="1" applyProtection="1">
      <protection/>
    </xf>
    <xf numFmtId="0" fontId="0" fillId="2" borderId="9" xfId="0" applyFill="1" applyBorder="1" applyProtection="1">
      <protection/>
    </xf>
    <xf numFmtId="0" fontId="7" fillId="2" borderId="10" xfId="0" applyFont="1" applyFill="1" applyBorder="1" applyAlignment="1" applyProtection="1">
      <alignment horizontal="center" vertical="top" wrapText="1"/>
      <protection/>
    </xf>
    <xf numFmtId="0" fontId="3" fillId="2" borderId="10" xfId="0" applyFont="1" applyFill="1" applyBorder="1" applyAlignment="1" applyProtection="1">
      <alignment horizontal="left" vertical="top" wrapText="1"/>
      <protection/>
    </xf>
    <xf numFmtId="0" fontId="5" fillId="2" borderId="10" xfId="0" applyFont="1" applyFill="1" applyBorder="1" applyAlignment="1" applyProtection="1">
      <alignment horizontal="left"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 locked="0"/>
    </xf>
    <xf numFmtId="9" fontId="6" fillId="2" borderId="10" xfId="0" applyNumberFormat="1" applyFont="1" applyFill="1" applyBorder="1" applyAlignment="1" applyProtection="1">
      <alignment horizontal="center" vertical="top" wrapText="1"/>
      <protection/>
    </xf>
    <xf numFmtId="0" fontId="0" fillId="2" borderId="10" xfId="0" applyFill="1" applyBorder="1" applyProtection="1">
      <protection/>
    </xf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  <protection/>
    </xf>
    <xf numFmtId="10" fontId="10" fillId="0" borderId="1" xfId="0" applyNumberFormat="1" applyFont="1" applyFill="1" applyBorder="1" applyAlignment="1" applyProtection="1">
      <alignment horizontal="center" vertical="top" wrapText="1"/>
      <protection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  <protection/>
    </xf>
    <xf numFmtId="10" fontId="10" fillId="2" borderId="1" xfId="0" applyNumberFormat="1" applyFont="1" applyFill="1" applyBorder="1" applyAlignment="1" applyProtection="1">
      <alignment horizontal="center" vertical="top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3" fontId="9" fillId="0" borderId="3" xfId="0" applyNumberFormat="1" applyFont="1" applyFill="1" applyBorder="1" applyAlignment="1" applyProtection="1">
      <alignment vertical="top" wrapText="1"/>
      <protection/>
    </xf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right" vertical="top" wrapText="1"/>
      <protection/>
    </xf>
    <xf numFmtId="0" fontId="7" fillId="0" borderId="12" xfId="0" applyFont="1" applyBorder="1" applyAlignment="1" applyProtection="1">
      <alignment horizontal="right" vertical="top" wrapText="1"/>
      <protection/>
    </xf>
    <xf numFmtId="0" fontId="4" fillId="2" borderId="11" xfId="0" applyFont="1" applyFill="1" applyBorder="1" applyAlignment="1" applyProtection="1">
      <alignment horizontal="right" vertical="top" wrapText="1"/>
      <protection/>
    </xf>
    <xf numFmtId="0" fontId="4" fillId="2" borderId="10" xfId="0" applyFont="1" applyFill="1" applyBorder="1" applyAlignment="1" applyProtection="1">
      <alignment horizontal="right" vertical="top" wrapText="1"/>
      <protection/>
    </xf>
    <xf numFmtId="0" fontId="4" fillId="2" borderId="12" xfId="0" applyFont="1" applyFill="1" applyBorder="1" applyAlignment="1" applyProtection="1">
      <alignment horizontal="right" vertical="top" wrapText="1"/>
      <protection/>
    </xf>
    <xf numFmtId="0" fontId="0" fillId="0" borderId="13" xfId="0" applyBorder="1" applyAlignment="1">
      <alignment horizontal="center"/>
    </xf>
    <xf numFmtId="0" fontId="2" fillId="2" borderId="14" xfId="20" applyFont="1" applyFill="1" applyBorder="1" applyAlignment="1" applyProtection="1">
      <alignment horizontal="center" vertical="center" wrapText="1"/>
      <protection/>
    </xf>
    <xf numFmtId="0" fontId="2" fillId="2" borderId="15" xfId="20" applyFont="1" applyFill="1" applyBorder="1" applyAlignment="1" applyProtection="1">
      <alignment horizontal="center" vertical="center" wrapText="1"/>
      <protection/>
    </xf>
    <xf numFmtId="0" fontId="2" fillId="2" borderId="11" xfId="20" applyFont="1" applyFill="1" applyBorder="1" applyAlignment="1" applyProtection="1">
      <alignment horizontal="center" vertical="center" wrapText="1"/>
      <protection/>
    </xf>
    <xf numFmtId="0" fontId="2" fillId="2" borderId="10" xfId="20" applyFont="1" applyFill="1" applyBorder="1" applyAlignment="1" applyProtection="1">
      <alignment horizontal="center" vertical="center" wrapText="1"/>
      <protection/>
    </xf>
    <xf numFmtId="0" fontId="2" fillId="2" borderId="12" xfId="2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dxfs count="2">
    <dxf>
      <font>
        <color theme="0"/>
      </font>
      <border/>
    </dxf>
    <dxf>
      <font>
        <color theme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workbookViewId="0" topLeftCell="A1">
      <selection activeCell="B27" sqref="B27:C27"/>
    </sheetView>
  </sheetViews>
  <sheetFormatPr defaultColWidth="9.140625" defaultRowHeight="15"/>
  <cols>
    <col min="1" max="1" width="1.28515625" style="0" customWidth="1"/>
    <col min="2" max="2" width="38.57421875" style="0" customWidth="1"/>
    <col min="3" max="3" width="50.28125" style="0" customWidth="1"/>
    <col min="4" max="4" width="13.7109375" style="0" customWidth="1"/>
    <col min="5" max="7" width="12.421875" style="0" bestFit="1" customWidth="1"/>
    <col min="8" max="8" width="13.57421875" style="0" bestFit="1" customWidth="1"/>
    <col min="9" max="9" width="13.57421875" style="0" customWidth="1"/>
    <col min="10" max="10" width="12.140625" style="0" customWidth="1"/>
    <col min="11" max="12" width="14.7109375" style="0" customWidth="1"/>
    <col min="13" max="13" width="13.140625" style="0" customWidth="1"/>
    <col min="14" max="14" width="15.57421875" style="0" customWidth="1"/>
    <col min="15" max="15" width="1.28515625" style="0" customWidth="1"/>
    <col min="16" max="16" width="12.8515625" style="0" customWidth="1"/>
  </cols>
  <sheetData>
    <row r="1" spans="1:15" ht="28.5" customHeight="1">
      <c r="A1" s="38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5"/>
      <c r="B2" s="9"/>
      <c r="C2" s="10"/>
      <c r="D2" s="9"/>
      <c r="E2" s="9"/>
      <c r="F2" s="10" t="s">
        <v>43</v>
      </c>
      <c r="G2" s="11">
        <v>42735</v>
      </c>
      <c r="H2" s="12"/>
      <c r="I2" s="12"/>
      <c r="J2" s="12"/>
      <c r="K2" s="9"/>
      <c r="L2" s="9"/>
      <c r="M2" s="9"/>
      <c r="N2" s="9"/>
      <c r="O2" s="13"/>
    </row>
    <row r="3" spans="1:15" ht="35.25" customHeight="1">
      <c r="A3" s="6"/>
      <c r="B3" s="39" t="s">
        <v>49</v>
      </c>
      <c r="C3" s="39" t="s">
        <v>50</v>
      </c>
      <c r="D3" s="39" t="s">
        <v>51</v>
      </c>
      <c r="E3" s="41" t="s">
        <v>52</v>
      </c>
      <c r="F3" s="42"/>
      <c r="G3" s="42"/>
      <c r="H3" s="43"/>
      <c r="I3" s="39" t="s">
        <v>53</v>
      </c>
      <c r="J3" s="39" t="s">
        <v>44</v>
      </c>
      <c r="K3" s="41" t="s">
        <v>54</v>
      </c>
      <c r="L3" s="42"/>
      <c r="M3" s="43"/>
      <c r="N3" s="39" t="s">
        <v>48</v>
      </c>
      <c r="O3" s="6"/>
    </row>
    <row r="4" spans="1:15" ht="15">
      <c r="A4" s="6"/>
      <c r="B4" s="40"/>
      <c r="C4" s="40"/>
      <c r="D4" s="40"/>
      <c r="E4" s="14" t="s">
        <v>31</v>
      </c>
      <c r="F4" s="14" t="s">
        <v>32</v>
      </c>
      <c r="G4" s="14" t="s">
        <v>46</v>
      </c>
      <c r="H4" s="14" t="s">
        <v>55</v>
      </c>
      <c r="I4" s="40"/>
      <c r="J4" s="40"/>
      <c r="K4" s="30" t="s">
        <v>56</v>
      </c>
      <c r="L4" s="30" t="s">
        <v>57</v>
      </c>
      <c r="M4" s="30" t="s">
        <v>55</v>
      </c>
      <c r="N4" s="40"/>
      <c r="O4" s="6"/>
    </row>
    <row r="5" spans="1:15" ht="15">
      <c r="A5" s="6"/>
      <c r="B5" s="1">
        <v>1</v>
      </c>
      <c r="C5" s="1">
        <v>3</v>
      </c>
      <c r="D5" s="1">
        <v>2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 t="s">
        <v>42</v>
      </c>
      <c r="K5" s="1">
        <v>10</v>
      </c>
      <c r="L5" s="1">
        <v>11</v>
      </c>
      <c r="M5" s="1">
        <v>12</v>
      </c>
      <c r="N5" s="1" t="s">
        <v>58</v>
      </c>
      <c r="O5" s="6"/>
    </row>
    <row r="6" spans="1:15" ht="15">
      <c r="A6" s="6"/>
      <c r="B6" s="2" t="s">
        <v>37</v>
      </c>
      <c r="C6" s="2" t="s">
        <v>17</v>
      </c>
      <c r="D6" s="3" t="s">
        <v>0</v>
      </c>
      <c r="E6" s="24">
        <v>1372000</v>
      </c>
      <c r="F6" s="24">
        <v>664600</v>
      </c>
      <c r="G6" s="24">
        <v>0</v>
      </c>
      <c r="H6" s="25">
        <v>2036600</v>
      </c>
      <c r="I6" s="32">
        <f>620701+77022+62787+33876.58+27948.9+8737</f>
        <v>831072.48</v>
      </c>
      <c r="J6" s="26">
        <f>I6/H6</f>
        <v>0.40806858489639597</v>
      </c>
      <c r="K6" s="27">
        <v>166000</v>
      </c>
      <c r="L6" s="27">
        <f>1123298+19545</f>
        <v>1142843</v>
      </c>
      <c r="M6" s="25">
        <f>K6+L6</f>
        <v>1308843</v>
      </c>
      <c r="N6" s="26">
        <f>M6/(E6+F6)</f>
        <v>0.6426608072277324</v>
      </c>
      <c r="O6" s="6"/>
    </row>
    <row r="7" spans="1:15" ht="15">
      <c r="A7" s="6"/>
      <c r="B7" s="2" t="s">
        <v>61</v>
      </c>
      <c r="C7" s="2" t="s">
        <v>18</v>
      </c>
      <c r="D7" s="3" t="s">
        <v>1</v>
      </c>
      <c r="E7" s="24">
        <v>8000000</v>
      </c>
      <c r="F7" s="24">
        <v>0</v>
      </c>
      <c r="G7" s="24">
        <v>1411765</v>
      </c>
      <c r="H7" s="25">
        <v>9411765</v>
      </c>
      <c r="I7" s="32">
        <f>3766315+51748+314325+26776+320158.37+657756.17+463816</f>
        <v>5600894.54</v>
      </c>
      <c r="J7" s="26">
        <f aca="true" t="shared" si="0" ref="J7:J18">I7/H7</f>
        <v>0.5950950262782805</v>
      </c>
      <c r="K7" s="27">
        <v>2280840</v>
      </c>
      <c r="L7" s="27">
        <f>4686678+234869</f>
        <v>4921547</v>
      </c>
      <c r="M7" s="25">
        <f>K7+L7</f>
        <v>7202387</v>
      </c>
      <c r="N7" s="26">
        <f aca="true" t="shared" si="1" ref="N7:N19">M7/(E7+F7)</f>
        <v>0.900298375</v>
      </c>
      <c r="O7" s="6"/>
    </row>
    <row r="8" spans="1:15" ht="15">
      <c r="A8" s="6"/>
      <c r="B8" s="2" t="s">
        <v>61</v>
      </c>
      <c r="C8" s="2" t="s">
        <v>19</v>
      </c>
      <c r="D8" s="3" t="s">
        <v>2</v>
      </c>
      <c r="E8" s="24">
        <v>8000000</v>
      </c>
      <c r="F8" s="24">
        <v>0</v>
      </c>
      <c r="G8" s="24">
        <v>1411765</v>
      </c>
      <c r="H8" s="25">
        <v>9411765</v>
      </c>
      <c r="I8" s="32">
        <f>2352747+40936+304822+9416+169774.51+263265.7+300429</f>
        <v>3441390.21</v>
      </c>
      <c r="J8" s="26">
        <f t="shared" si="0"/>
        <v>0.3656476983860094</v>
      </c>
      <c r="K8" s="27">
        <v>1619084</v>
      </c>
      <c r="L8" s="27">
        <f>5420025+2615661</f>
        <v>8035686</v>
      </c>
      <c r="M8" s="25">
        <f aca="true" t="shared" si="2" ref="M8:M18">K8+L8</f>
        <v>9654770</v>
      </c>
      <c r="N8" s="26">
        <f t="shared" si="1"/>
        <v>1.20684625</v>
      </c>
      <c r="O8" s="6"/>
    </row>
    <row r="9" spans="1:15" ht="15">
      <c r="A9" s="6"/>
      <c r="B9" s="2" t="s">
        <v>62</v>
      </c>
      <c r="C9" s="2" t="s">
        <v>20</v>
      </c>
      <c r="D9" s="3" t="s">
        <v>3</v>
      </c>
      <c r="E9" s="24">
        <v>13260245</v>
      </c>
      <c r="F9" s="24">
        <v>0</v>
      </c>
      <c r="G9" s="24">
        <v>2340043</v>
      </c>
      <c r="H9" s="25">
        <v>15600288</v>
      </c>
      <c r="I9" s="32">
        <f>4671093+632150+634357+381888+662825.08+839572.52+177014</f>
        <v>7998899.6</v>
      </c>
      <c r="J9" s="26">
        <f t="shared" si="0"/>
        <v>0.5127405083803581</v>
      </c>
      <c r="K9" s="27">
        <v>677451</v>
      </c>
      <c r="L9" s="27">
        <v>9474211</v>
      </c>
      <c r="M9" s="25">
        <f t="shared" si="2"/>
        <v>10151662</v>
      </c>
      <c r="N9" s="26">
        <f t="shared" si="1"/>
        <v>0.7655712243627475</v>
      </c>
      <c r="O9" s="6"/>
    </row>
    <row r="10" spans="1:15" ht="15">
      <c r="A10" s="6"/>
      <c r="B10" s="2" t="s">
        <v>60</v>
      </c>
      <c r="C10" s="2" t="s">
        <v>21</v>
      </c>
      <c r="D10" s="3" t="s">
        <v>4</v>
      </c>
      <c r="E10" s="24">
        <v>8630113</v>
      </c>
      <c r="F10" s="24">
        <v>0</v>
      </c>
      <c r="G10" s="24">
        <v>1522961</v>
      </c>
      <c r="H10" s="25">
        <v>10153074</v>
      </c>
      <c r="I10" s="32">
        <f>7791093-1004+711741-24140+165452.5+78457.1+29464</f>
        <v>8751063.6</v>
      </c>
      <c r="J10" s="26">
        <f t="shared" si="0"/>
        <v>0.8619127172716361</v>
      </c>
      <c r="K10" s="27">
        <v>237916</v>
      </c>
      <c r="L10" s="27">
        <v>7268728</v>
      </c>
      <c r="M10" s="25">
        <f t="shared" si="2"/>
        <v>7506644</v>
      </c>
      <c r="N10" s="26">
        <f t="shared" si="1"/>
        <v>0.8698198969121261</v>
      </c>
      <c r="O10" s="6"/>
    </row>
    <row r="11" spans="1:15" ht="15">
      <c r="A11" s="6"/>
      <c r="B11" s="2" t="s">
        <v>38</v>
      </c>
      <c r="C11" s="2" t="s">
        <v>22</v>
      </c>
      <c r="D11" s="3" t="s">
        <v>5</v>
      </c>
      <c r="E11" s="24">
        <v>5650000</v>
      </c>
      <c r="F11" s="24">
        <v>7765000</v>
      </c>
      <c r="G11" s="24">
        <v>2367353</v>
      </c>
      <c r="H11" s="25">
        <v>15782353</v>
      </c>
      <c r="I11" s="32">
        <f>2232281+205891+197536+382475+2203563.36+832710.96+605253</f>
        <v>6659710.319999999</v>
      </c>
      <c r="J11" s="26">
        <f t="shared" si="0"/>
        <v>0.421971953104838</v>
      </c>
      <c r="K11" s="27">
        <v>2110282</v>
      </c>
      <c r="L11" s="27">
        <f>2890844+5070250</f>
        <v>7961094</v>
      </c>
      <c r="M11" s="25">
        <f t="shared" si="2"/>
        <v>10071376</v>
      </c>
      <c r="N11" s="26">
        <f t="shared" si="1"/>
        <v>0.7507548266865449</v>
      </c>
      <c r="O11" s="6"/>
    </row>
    <row r="12" spans="1:15" ht="15">
      <c r="A12" s="6"/>
      <c r="B12" s="2" t="s">
        <v>39</v>
      </c>
      <c r="C12" s="2" t="s">
        <v>23</v>
      </c>
      <c r="D12" s="3" t="s">
        <v>6</v>
      </c>
      <c r="E12" s="24">
        <v>14000000</v>
      </c>
      <c r="F12" s="24">
        <v>0</v>
      </c>
      <c r="G12" s="24">
        <v>2470588</v>
      </c>
      <c r="H12" s="25">
        <v>16470588</v>
      </c>
      <c r="I12" s="32">
        <f>4480525+185386+291107+126239+37274.59+1264330.97+529316</f>
        <v>6914178.56</v>
      </c>
      <c r="J12" s="26">
        <f t="shared" si="0"/>
        <v>0.4197894185684202</v>
      </c>
      <c r="K12" s="27">
        <v>2836102</v>
      </c>
      <c r="L12" s="27">
        <f>8372539+116525</f>
        <v>8489064</v>
      </c>
      <c r="M12" s="25">
        <f t="shared" si="2"/>
        <v>11325166</v>
      </c>
      <c r="N12" s="26">
        <f t="shared" si="1"/>
        <v>0.8089404285714286</v>
      </c>
      <c r="O12" s="6"/>
    </row>
    <row r="13" spans="1:15" ht="15">
      <c r="A13" s="6"/>
      <c r="B13" s="2" t="s">
        <v>60</v>
      </c>
      <c r="C13" s="2" t="s">
        <v>24</v>
      </c>
      <c r="D13" s="3" t="s">
        <v>7</v>
      </c>
      <c r="E13" s="24">
        <v>1500000</v>
      </c>
      <c r="F13" s="24">
        <v>0</v>
      </c>
      <c r="G13" s="24">
        <v>264706</v>
      </c>
      <c r="H13" s="25">
        <v>1764706</v>
      </c>
      <c r="I13" s="32">
        <f>1082108+3620+13698+8210.67+7441.64+18135</f>
        <v>1133213.3099999998</v>
      </c>
      <c r="J13" s="26">
        <f t="shared" si="0"/>
        <v>0.6421541661897222</v>
      </c>
      <c r="K13" s="27">
        <v>295415</v>
      </c>
      <c r="L13" s="27">
        <v>1190570</v>
      </c>
      <c r="M13" s="25">
        <f t="shared" si="2"/>
        <v>1485985</v>
      </c>
      <c r="N13" s="26">
        <f t="shared" si="1"/>
        <v>0.9906566666666666</v>
      </c>
      <c r="O13" s="6"/>
    </row>
    <row r="14" spans="1:15" ht="15">
      <c r="A14" s="6"/>
      <c r="B14" s="2" t="s">
        <v>37</v>
      </c>
      <c r="C14" s="2" t="s">
        <v>25</v>
      </c>
      <c r="D14" s="3" t="s">
        <v>8</v>
      </c>
      <c r="E14" s="24">
        <v>0</v>
      </c>
      <c r="F14" s="24">
        <v>2016000</v>
      </c>
      <c r="G14" s="24">
        <v>355765</v>
      </c>
      <c r="H14" s="25">
        <v>2371765</v>
      </c>
      <c r="I14" s="32">
        <f>1518463+145752+153682.1+251833</f>
        <v>2069730.1</v>
      </c>
      <c r="J14" s="26">
        <f t="shared" si="0"/>
        <v>0.8726539518038254</v>
      </c>
      <c r="K14" s="27">
        <v>216552</v>
      </c>
      <c r="L14" s="27">
        <v>1760221</v>
      </c>
      <c r="M14" s="25">
        <f t="shared" si="2"/>
        <v>1976773</v>
      </c>
      <c r="N14" s="26">
        <f t="shared" si="1"/>
        <v>0.9805421626984127</v>
      </c>
      <c r="O14" s="6"/>
    </row>
    <row r="15" spans="1:15" ht="15">
      <c r="A15" s="6"/>
      <c r="B15" s="2" t="s">
        <v>40</v>
      </c>
      <c r="C15" s="2" t="s">
        <v>26</v>
      </c>
      <c r="D15" s="3" t="s">
        <v>9</v>
      </c>
      <c r="E15" s="24">
        <v>0</v>
      </c>
      <c r="F15" s="24">
        <v>2000000</v>
      </c>
      <c r="G15" s="24">
        <v>352941</v>
      </c>
      <c r="H15" s="25">
        <v>2352941</v>
      </c>
      <c r="I15" s="32">
        <f>640964+227016+88505+16539.83+21870.54+59142</f>
        <v>1054037.37</v>
      </c>
      <c r="J15" s="26">
        <f t="shared" si="0"/>
        <v>0.4479659158474437</v>
      </c>
      <c r="K15" s="27">
        <v>405260</v>
      </c>
      <c r="L15" s="27">
        <f>1171721+170000</f>
        <v>1341721</v>
      </c>
      <c r="M15" s="25">
        <f t="shared" si="2"/>
        <v>1746981</v>
      </c>
      <c r="N15" s="26">
        <f t="shared" si="1"/>
        <v>0.8734905</v>
      </c>
      <c r="O15" s="6"/>
    </row>
    <row r="16" spans="1:15" ht="38.25">
      <c r="A16" s="6"/>
      <c r="B16" s="2" t="s">
        <v>40</v>
      </c>
      <c r="C16" s="2" t="s">
        <v>45</v>
      </c>
      <c r="D16" s="3" t="s">
        <v>10</v>
      </c>
      <c r="E16" s="24">
        <v>0</v>
      </c>
      <c r="F16" s="24">
        <v>6000000</v>
      </c>
      <c r="G16" s="24">
        <v>1058823</v>
      </c>
      <c r="H16" s="25">
        <v>7058823</v>
      </c>
      <c r="I16" s="32">
        <f>3721151+162545+59845.79+49612.48+291759</f>
        <v>4284913.27</v>
      </c>
      <c r="J16" s="26">
        <f t="shared" si="0"/>
        <v>0.6070294254438735</v>
      </c>
      <c r="K16" s="27">
        <v>1647499</v>
      </c>
      <c r="L16" s="27">
        <v>3970884</v>
      </c>
      <c r="M16" s="25">
        <f t="shared" si="2"/>
        <v>5618383</v>
      </c>
      <c r="N16" s="26">
        <f t="shared" si="1"/>
        <v>0.9363971666666666</v>
      </c>
      <c r="O16" s="6"/>
    </row>
    <row r="17" spans="1:15" ht="28.5" customHeight="1">
      <c r="A17" s="6"/>
      <c r="B17" s="2" t="s">
        <v>41</v>
      </c>
      <c r="C17" s="2" t="s">
        <v>27</v>
      </c>
      <c r="D17" s="3" t="s">
        <v>11</v>
      </c>
      <c r="E17" s="24">
        <v>0</v>
      </c>
      <c r="F17" s="24">
        <v>3091000</v>
      </c>
      <c r="G17" s="24">
        <v>545471</v>
      </c>
      <c r="H17" s="25">
        <v>3636471</v>
      </c>
      <c r="I17" s="32">
        <f>2954045+85634-49535+18492.13</f>
        <v>3008636.13</v>
      </c>
      <c r="J17" s="26">
        <f t="shared" si="0"/>
        <v>0.8273505082262446</v>
      </c>
      <c r="K17" s="27">
        <v>498612</v>
      </c>
      <c r="L17" s="27">
        <f>2559826+9849</f>
        <v>2569675</v>
      </c>
      <c r="M17" s="25">
        <f t="shared" si="2"/>
        <v>3068287</v>
      </c>
      <c r="N17" s="26">
        <f t="shared" si="1"/>
        <v>0.9926518925913944</v>
      </c>
      <c r="O17" s="6"/>
    </row>
    <row r="18" spans="1:15" ht="15">
      <c r="A18" s="6"/>
      <c r="B18" s="2" t="s">
        <v>41</v>
      </c>
      <c r="C18" s="2" t="s">
        <v>28</v>
      </c>
      <c r="D18" s="4" t="s">
        <v>12</v>
      </c>
      <c r="E18" s="24">
        <v>0</v>
      </c>
      <c r="F18" s="24">
        <v>8604400</v>
      </c>
      <c r="G18" s="24">
        <v>1518424</v>
      </c>
      <c r="H18" s="25">
        <v>10122824</v>
      </c>
      <c r="I18" s="32">
        <f>7599217+27906+2767+106429.59+16832.07+50842</f>
        <v>7803993.66</v>
      </c>
      <c r="J18" s="26">
        <f t="shared" si="0"/>
        <v>0.7709304893575153</v>
      </c>
      <c r="K18" s="27">
        <v>1201337</v>
      </c>
      <c r="L18" s="27">
        <v>7225156</v>
      </c>
      <c r="M18" s="25">
        <f t="shared" si="2"/>
        <v>8426493</v>
      </c>
      <c r="N18" s="26">
        <f t="shared" si="1"/>
        <v>0.9793237180977175</v>
      </c>
      <c r="O18" s="6"/>
    </row>
    <row r="19" spans="1:15" ht="15">
      <c r="A19" s="6"/>
      <c r="B19" s="35" t="s">
        <v>30</v>
      </c>
      <c r="C19" s="36"/>
      <c r="D19" s="37"/>
      <c r="E19" s="28">
        <v>60412358</v>
      </c>
      <c r="F19" s="28">
        <v>30141000</v>
      </c>
      <c r="G19" s="28">
        <v>15620605</v>
      </c>
      <c r="H19" s="28">
        <v>106173963</v>
      </c>
      <c r="I19" s="28">
        <f>SUM(I6:I18)</f>
        <v>59551733.150000006</v>
      </c>
      <c r="J19" s="29">
        <f>I19/H19</f>
        <v>0.5608882956549338</v>
      </c>
      <c r="K19" s="28">
        <f>SUM(K6:K18)</f>
        <v>14192350</v>
      </c>
      <c r="L19" s="28">
        <f>SUM(L6:L18)</f>
        <v>65351400</v>
      </c>
      <c r="M19" s="28">
        <f>SUM(M6:M18)</f>
        <v>79543750</v>
      </c>
      <c r="N19" s="29">
        <f t="shared" si="1"/>
        <v>0.8784185562726453</v>
      </c>
      <c r="O19" s="6"/>
    </row>
    <row r="20" spans="1:15" ht="9.75" customHeight="1">
      <c r="A20" s="7"/>
      <c r="B20" s="17"/>
      <c r="C20" s="18"/>
      <c r="D20" s="19"/>
      <c r="E20" s="20"/>
      <c r="F20" s="20"/>
      <c r="G20" s="20"/>
      <c r="H20" s="20"/>
      <c r="I20" s="20"/>
      <c r="J20" s="20"/>
      <c r="K20" s="21"/>
      <c r="L20" s="21"/>
      <c r="M20" s="20"/>
      <c r="N20" s="22"/>
      <c r="O20" s="15"/>
    </row>
    <row r="21" spans="1:15" ht="15" customHeight="1">
      <c r="A21" s="6"/>
      <c r="B21" s="33" t="s">
        <v>64</v>
      </c>
      <c r="C21" s="34"/>
      <c r="D21" s="4" t="s">
        <v>13</v>
      </c>
      <c r="E21" s="25">
        <v>1372000</v>
      </c>
      <c r="F21" s="25">
        <v>2680600</v>
      </c>
      <c r="G21" s="25">
        <v>355765</v>
      </c>
      <c r="H21" s="25">
        <v>4408365</v>
      </c>
      <c r="I21" s="25">
        <f>I6+I14</f>
        <v>2900802.58</v>
      </c>
      <c r="J21" s="26">
        <f aca="true" t="shared" si="3" ref="J21:J28">I21/H21</f>
        <v>0.658022323469132</v>
      </c>
      <c r="K21" s="25">
        <f>K6+K14</f>
        <v>382552</v>
      </c>
      <c r="L21" s="25">
        <f>L6+L14</f>
        <v>2903064</v>
      </c>
      <c r="M21" s="25">
        <f>K21+L21</f>
        <v>3285616</v>
      </c>
      <c r="N21" s="26">
        <f aca="true" t="shared" si="4" ref="N21:N28">M21/(E21+F21)</f>
        <v>0.8107427330602576</v>
      </c>
      <c r="O21" s="6"/>
    </row>
    <row r="22" spans="1:15" ht="15" customHeight="1">
      <c r="A22" s="6"/>
      <c r="B22" s="33" t="s">
        <v>63</v>
      </c>
      <c r="C22" s="34"/>
      <c r="D22" s="4" t="s">
        <v>14</v>
      </c>
      <c r="E22" s="25">
        <v>16000000</v>
      </c>
      <c r="F22" s="25">
        <v>0</v>
      </c>
      <c r="G22" s="25">
        <v>2823530</v>
      </c>
      <c r="H22" s="25">
        <v>18823530</v>
      </c>
      <c r="I22" s="25">
        <f>I7+I8</f>
        <v>9042284.75</v>
      </c>
      <c r="J22" s="26">
        <f t="shared" si="3"/>
        <v>0.48037136233214495</v>
      </c>
      <c r="K22" s="25">
        <f>K7+K8</f>
        <v>3899924</v>
      </c>
      <c r="L22" s="25">
        <f>L7+L8</f>
        <v>12957233</v>
      </c>
      <c r="M22" s="25">
        <f aca="true" t="shared" si="5" ref="M22:M28">K22+L22</f>
        <v>16857157</v>
      </c>
      <c r="N22" s="26">
        <f t="shared" si="4"/>
        <v>1.0535723125</v>
      </c>
      <c r="O22" s="6"/>
    </row>
    <row r="23" spans="1:16" ht="15" customHeight="1">
      <c r="A23" s="6"/>
      <c r="B23" s="33" t="s">
        <v>65</v>
      </c>
      <c r="C23" s="34"/>
      <c r="D23" s="4" t="s">
        <v>3</v>
      </c>
      <c r="E23" s="25">
        <v>13260245</v>
      </c>
      <c r="F23" s="25">
        <v>0</v>
      </c>
      <c r="G23" s="25">
        <v>2340043</v>
      </c>
      <c r="H23" s="25">
        <v>15600288</v>
      </c>
      <c r="I23" s="25">
        <f>I9</f>
        <v>7998899.6</v>
      </c>
      <c r="J23" s="26">
        <f t="shared" si="3"/>
        <v>0.5127405083803581</v>
      </c>
      <c r="K23" s="25">
        <f>K9</f>
        <v>677451</v>
      </c>
      <c r="L23" s="25">
        <f>L9</f>
        <v>9474211</v>
      </c>
      <c r="M23" s="25">
        <f t="shared" si="5"/>
        <v>10151662</v>
      </c>
      <c r="N23" s="26">
        <f t="shared" si="4"/>
        <v>0.7655712243627475</v>
      </c>
      <c r="O23" s="6"/>
      <c r="P23" s="31"/>
    </row>
    <row r="24" spans="1:15" ht="15" customHeight="1">
      <c r="A24" s="6"/>
      <c r="B24" s="33" t="s">
        <v>66</v>
      </c>
      <c r="C24" s="34"/>
      <c r="D24" s="4" t="s">
        <v>29</v>
      </c>
      <c r="E24" s="25">
        <v>10130113</v>
      </c>
      <c r="F24" s="25">
        <v>0</v>
      </c>
      <c r="G24" s="25">
        <v>1787667</v>
      </c>
      <c r="H24" s="25">
        <v>11917780</v>
      </c>
      <c r="I24" s="25">
        <f>I10+I13</f>
        <v>9884276.91</v>
      </c>
      <c r="J24" s="26">
        <f t="shared" si="3"/>
        <v>0.829372325214931</v>
      </c>
      <c r="K24" s="25">
        <f>K10+K13</f>
        <v>533331</v>
      </c>
      <c r="L24" s="25">
        <f>L10+L13</f>
        <v>8459298</v>
      </c>
      <c r="M24" s="25">
        <f t="shared" si="5"/>
        <v>8992629</v>
      </c>
      <c r="N24" s="26">
        <f t="shared" si="4"/>
        <v>0.8877126049827875</v>
      </c>
      <c r="O24" s="6"/>
    </row>
    <row r="25" spans="1:15" ht="15" customHeight="1">
      <c r="A25" s="6"/>
      <c r="B25" s="33" t="s">
        <v>33</v>
      </c>
      <c r="C25" s="34"/>
      <c r="D25" s="4" t="s">
        <v>5</v>
      </c>
      <c r="E25" s="25">
        <v>5650000</v>
      </c>
      <c r="F25" s="25">
        <v>7765000</v>
      </c>
      <c r="G25" s="25">
        <v>2367353</v>
      </c>
      <c r="H25" s="25">
        <v>15782353</v>
      </c>
      <c r="I25" s="25">
        <f>I11</f>
        <v>6659710.319999999</v>
      </c>
      <c r="J25" s="26">
        <f t="shared" si="3"/>
        <v>0.421971953104838</v>
      </c>
      <c r="K25" s="25">
        <f>K11</f>
        <v>2110282</v>
      </c>
      <c r="L25" s="25">
        <f>L11</f>
        <v>7961094</v>
      </c>
      <c r="M25" s="25">
        <f t="shared" si="5"/>
        <v>10071376</v>
      </c>
      <c r="N25" s="26">
        <f t="shared" si="4"/>
        <v>0.7507548266865449</v>
      </c>
      <c r="O25" s="6"/>
    </row>
    <row r="26" spans="1:15" ht="15" customHeight="1">
      <c r="A26" s="6"/>
      <c r="B26" s="33" t="s">
        <v>34</v>
      </c>
      <c r="C26" s="34"/>
      <c r="D26" s="4" t="s">
        <v>6</v>
      </c>
      <c r="E26" s="25">
        <v>14000000</v>
      </c>
      <c r="F26" s="25">
        <v>0</v>
      </c>
      <c r="G26" s="25">
        <v>2470588</v>
      </c>
      <c r="H26" s="25">
        <v>16470588</v>
      </c>
      <c r="I26" s="25">
        <f>I12</f>
        <v>6914178.56</v>
      </c>
      <c r="J26" s="26">
        <f t="shared" si="3"/>
        <v>0.4197894185684202</v>
      </c>
      <c r="K26" s="25">
        <f>K12</f>
        <v>2836102</v>
      </c>
      <c r="L26" s="25">
        <f>L12</f>
        <v>8489064</v>
      </c>
      <c r="M26" s="25">
        <f t="shared" si="5"/>
        <v>11325166</v>
      </c>
      <c r="N26" s="26">
        <f t="shared" si="4"/>
        <v>0.8089404285714286</v>
      </c>
      <c r="O26" s="6"/>
    </row>
    <row r="27" spans="1:15" ht="15" customHeight="1">
      <c r="A27" s="6"/>
      <c r="B27" s="33" t="s">
        <v>35</v>
      </c>
      <c r="C27" s="34"/>
      <c r="D27" s="4" t="s">
        <v>15</v>
      </c>
      <c r="E27" s="25">
        <v>0</v>
      </c>
      <c r="F27" s="25">
        <v>8000000</v>
      </c>
      <c r="G27" s="25">
        <v>1411764</v>
      </c>
      <c r="H27" s="25">
        <v>9411764</v>
      </c>
      <c r="I27" s="25">
        <f>I15+I16</f>
        <v>5338950.64</v>
      </c>
      <c r="J27" s="26">
        <f t="shared" si="3"/>
        <v>0.5672635480447661</v>
      </c>
      <c r="K27" s="25">
        <f>K15+K16</f>
        <v>2052759</v>
      </c>
      <c r="L27" s="25">
        <f>L15+L16</f>
        <v>5312605</v>
      </c>
      <c r="M27" s="25">
        <f t="shared" si="5"/>
        <v>7365364</v>
      </c>
      <c r="N27" s="26">
        <f t="shared" si="4"/>
        <v>0.9206705</v>
      </c>
      <c r="O27" s="6"/>
    </row>
    <row r="28" spans="1:15" ht="15" customHeight="1">
      <c r="A28" s="6"/>
      <c r="B28" s="33" t="s">
        <v>36</v>
      </c>
      <c r="C28" s="34"/>
      <c r="D28" s="4" t="s">
        <v>16</v>
      </c>
      <c r="E28" s="25">
        <v>0</v>
      </c>
      <c r="F28" s="25">
        <v>11695400</v>
      </c>
      <c r="G28" s="25">
        <v>2063895</v>
      </c>
      <c r="H28" s="25">
        <v>13759295</v>
      </c>
      <c r="I28" s="25">
        <f>I17+I18</f>
        <v>10812629.79</v>
      </c>
      <c r="J28" s="26">
        <f t="shared" si="3"/>
        <v>0.7858418465480971</v>
      </c>
      <c r="K28" s="25">
        <f>K17+K18</f>
        <v>1699949</v>
      </c>
      <c r="L28" s="25">
        <f>L17+L18</f>
        <v>9794831</v>
      </c>
      <c r="M28" s="25">
        <f t="shared" si="5"/>
        <v>11494780</v>
      </c>
      <c r="N28" s="26">
        <f t="shared" si="4"/>
        <v>0.9828462472425056</v>
      </c>
      <c r="O28" s="6"/>
    </row>
    <row r="29" spans="1:15" ht="8.25" customHeight="1">
      <c r="A29" s="8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16"/>
    </row>
    <row r="30" ht="15">
      <c r="B30" t="s">
        <v>47</v>
      </c>
    </row>
  </sheetData>
  <mergeCells count="18">
    <mergeCell ref="A1:O1"/>
    <mergeCell ref="B3:B4"/>
    <mergeCell ref="C3:C4"/>
    <mergeCell ref="D3:D4"/>
    <mergeCell ref="E3:H3"/>
    <mergeCell ref="I3:I4"/>
    <mergeCell ref="J3:J4"/>
    <mergeCell ref="K3:M3"/>
    <mergeCell ref="N3:N4"/>
    <mergeCell ref="B26:C26"/>
    <mergeCell ref="B27:C27"/>
    <mergeCell ref="B28:C28"/>
    <mergeCell ref="B19:D19"/>
    <mergeCell ref="B21:C21"/>
    <mergeCell ref="B22:C22"/>
    <mergeCell ref="B23:C23"/>
    <mergeCell ref="B24:C24"/>
    <mergeCell ref="B25:C25"/>
  </mergeCells>
  <conditionalFormatting sqref="I6:M18">
    <cfRule type="cellIs" priority="2" dxfId="0" operator="equal">
      <formula>0</formula>
    </cfRule>
  </conditionalFormatting>
  <conditionalFormatting sqref="N6:N19">
    <cfRule type="cellIs" priority="1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subject/>
  <dc:creator/>
  <cp:keywords/>
  <dc:description/>
  <cp:lastModifiedBy/>
  <dcterms:created xsi:type="dcterms:W3CDTF">2006-09-16T00:00:00Z</dcterms:created>
  <dcterms:modified xsi:type="dcterms:W3CDTF">2017-02-02T07:48:12Z</dcterms:modified>
  <cp:category/>
  <cp:version/>
  <cp:contentType/>
  <cp:contentStatus/>
</cp:coreProperties>
</file>