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525" yWindow="930" windowWidth="14805" windowHeight="7770" activeTab="0"/>
  </bookViews>
  <sheets>
    <sheet name="юни 2016" sheetId="1" r:id="rId1"/>
  </sheets>
  <definedNames>
    <definedName name="_xlnm.Print_Area" localSheetId="0">'юни 2016'!$A$1:$N$31</definedName>
  </definedNames>
  <calcPr calcId="145621"/>
</workbook>
</file>

<file path=xl/sharedStrings.xml><?xml version="1.0" encoding="utf-8"?>
<sst xmlns="http://schemas.openxmlformats.org/spreadsheetml/2006/main" count="76" uniqueCount="68">
  <si>
    <t>BG01</t>
  </si>
  <si>
    <t>BG02</t>
  </si>
  <si>
    <t>BG03</t>
  </si>
  <si>
    <t>BG04</t>
  </si>
  <si>
    <t>BG06</t>
  </si>
  <si>
    <t>BG07</t>
  </si>
  <si>
    <t>BG08</t>
  </si>
  <si>
    <t>BG09</t>
  </si>
  <si>
    <t>BG11</t>
  </si>
  <si>
    <t>BG12</t>
  </si>
  <si>
    <t>BG13</t>
  </si>
  <si>
    <t>BG14</t>
  </si>
  <si>
    <t>BG15</t>
  </si>
  <si>
    <t>Техническа помощ и Фонд за двустранно сътрудничество на национално ниво</t>
  </si>
  <si>
    <t>Интегрирано управление на морските и вътрешните води</t>
  </si>
  <si>
    <t>Биологично разнообразие и екосистеми</t>
  </si>
  <si>
    <t>Енергийна ефективност и възобновяеми енергийни
източници</t>
  </si>
  <si>
    <t>Деца и младежи в риск</t>
  </si>
  <si>
    <t>Инициативи за обществено здраве</t>
  </si>
  <si>
    <t>Културно наследство и съвременно изкуство</t>
  </si>
  <si>
    <t>Програма за стипендии на ЕИП</t>
  </si>
  <si>
    <t>Изграждане на капацитет и институционално сътрудничество с норвежки публични институции, местни и регионални власти</t>
  </si>
  <si>
    <t>Домашно насилие и насилие, основано на полов признак</t>
  </si>
  <si>
    <t>Взаимодействие в рамките на Шенген и борба с транграничната и организираната престъпност, в т.ч. трафик на хора и странстващи престъпни групи</t>
  </si>
  <si>
    <t>Изграждане на капацитет и сътрудничество в областта на съдебната власт/Подобрена ефективност на правосъдието</t>
  </si>
  <si>
    <t>Корективни услуги, вкл. и без прилагане на мерки за задържане</t>
  </si>
  <si>
    <t>BG01 &amp; BG11</t>
  </si>
  <si>
    <t>BG02 &amp; BG03</t>
  </si>
  <si>
    <t>BG12 &amp; BG13</t>
  </si>
  <si>
    <t>BG14 &amp; BG15</t>
  </si>
  <si>
    <t>BG06 &amp; BG09</t>
  </si>
  <si>
    <t>ОБЩО ЗА ВСИЧКИ ПРОГРАМИ:</t>
  </si>
  <si>
    <t>ИНФОРМАЦИЯ КЪМ ДАТА:</t>
  </si>
  <si>
    <t>ОБЩО ЗА ПРОГРАМЕН ОПЕРАТОР МИНИСТЕРСКИ СЪВЕТ:</t>
  </si>
  <si>
    <t>ОБЩО ЗА ПРОГРАМЕН ОПЕРАТОР МИНИСТЕРСТВО НА ОКОЛНАТА СРЕДА И ВОДИТЕ:</t>
  </si>
  <si>
    <t>ОБЩО ЗА ПРОГРАМЕН ОПЕРАТОР МИНИСТЕРСТВО НА ИКОНОМИКАТА, ЕНЕРГЕТИКАТА И ТУРИЗМА:</t>
  </si>
  <si>
    <t>ОБЩО ЗА ПРОГРАМЕН ОПЕРАТОР МИНИСТЕРСТВО НА ОБРАЗОВАНИЕТО, МЛАДЕЖТА И НАУКАТА:</t>
  </si>
  <si>
    <t>ОБЩО ЗА ПРОГРАМЕН ОПЕРАТОР МИНИСТЕРСТВО НА ЗДРАВЕОПАЗВАНЕТО:</t>
  </si>
  <si>
    <t>ОБЩО ЗА ПРОГРАМЕН ОПЕРАТОР МИНИСТЕРСТВО НА КУЛТУРАТА:</t>
  </si>
  <si>
    <t>ОБЩО ЗА ПРОГРАМЕН ОПЕРАТОР МИНИСТЕРСТВО НА ВЪТРЕШНИТЕ РАБОТИ:</t>
  </si>
  <si>
    <t>ОБЩО ЗА ПРОГРАМЕН ОПЕРАТОР МИНИСТЕРСТВО НА ПРАВОСЪДИЕТО:</t>
  </si>
  <si>
    <t>Министерски съвет</t>
  </si>
  <si>
    <t>Министерство на околната среда и водите</t>
  </si>
  <si>
    <t>Министерство на икономиката, енергетиката и туризма</t>
  </si>
  <si>
    <t>Министерство на образованието, младежта и наукатa</t>
  </si>
  <si>
    <t>Министерство на здравеопазването</t>
  </si>
  <si>
    <t xml:space="preserve">Министерство на културата </t>
  </si>
  <si>
    <t>Министерство на образованието, младежта и науката</t>
  </si>
  <si>
    <t>Министерство на вътрешните работи</t>
  </si>
  <si>
    <t>Министерство на правосъдието</t>
  </si>
  <si>
    <t>9=8/7*100</t>
  </si>
  <si>
    <t>СУМИТЕ СА В ЕВРО</t>
  </si>
  <si>
    <t>% ПОЛУЧЕНИ ТРАНШОВЕ КЪМ БЮДЖЕТ ЕИП и НФМ</t>
  </si>
  <si>
    <t>ПРОГРАМЕН ОПЕРАТОР</t>
  </si>
  <si>
    <t>НАИМЕНОВАНИЕ НА ПРОГРАМАТА</t>
  </si>
  <si>
    <t>ПРОГРАМА №</t>
  </si>
  <si>
    <t>БЮДЖЕТ</t>
  </si>
  <si>
    <t>ПЛАТЕНО</t>
  </si>
  <si>
    <t>% ПЛАТЕНО КЪМ БЮДЖЕТ</t>
  </si>
  <si>
    <t>ЕИП</t>
  </si>
  <si>
    <t>НФМ</t>
  </si>
  <si>
    <t>НС</t>
  </si>
  <si>
    <t>ОБЩО</t>
  </si>
  <si>
    <t>АВАНСОВИ</t>
  </si>
  <si>
    <t>МЕЖДИННИ</t>
  </si>
  <si>
    <t>ПОЛУЧЕНИ ТРАНШОВЕ</t>
  </si>
  <si>
    <t>13=12/(4+5)</t>
  </si>
  <si>
    <t>ФИНАНСОВО ИЗПЪЛНЕНИЕ НА ПРОЕКТИТЕ ПО ФИНАНСОВИЯ МЕХАНИЗЪМ НА ЕВРОПЕЙСКОТО ИКОНОМИЧЕСКО ПРОСТРАНСТВО (2009 - 2014 ) И НОРВЕЖКИ ФИНАНСОВ МЕХАНИЗЪМ (2009 - 2014)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</si>
</sst>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11"/>
      <name val="Bookman Old Style"/>
      <family val="1"/>
    </font>
    <font>
      <sz val="9"/>
      <name val="Bookman Old Style"/>
      <family val="1"/>
    </font>
    <font>
      <sz val="9"/>
      <name val="Times New Roman"/>
      <family val="1"/>
    </font>
    <font>
      <sz val="10"/>
      <name val="Bookman Old Style"/>
      <family val="1"/>
    </font>
    <font>
      <sz val="7"/>
      <name val="Bookman Old Style"/>
      <family val="1"/>
    </font>
    <font>
      <b/>
      <sz val="10"/>
      <color theme="1"/>
      <name val="Tahoma"/>
      <family val="2"/>
    </font>
    <font>
      <b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0">
    <xf numFmtId="0" fontId="0" fillId="0" borderId="0" xfId="0"/>
    <xf numFmtId="0" fontId="0" fillId="0" borderId="0" xfId="0" applyProtection="1">
      <protection/>
    </xf>
    <xf numFmtId="0" fontId="8" fillId="0" borderId="1" xfId="0" applyFont="1" applyBorder="1" applyAlignment="1" applyProtection="1">
      <alignment horizontal="center" vertical="top" wrapText="1"/>
      <protection/>
    </xf>
    <xf numFmtId="0" fontId="3" fillId="0" borderId="1" xfId="0" applyFont="1" applyBorder="1" applyAlignment="1" applyProtection="1">
      <alignment horizontal="left" vertical="top" wrapText="1"/>
      <protection/>
    </xf>
    <xf numFmtId="0" fontId="5" fillId="0" borderId="1" xfId="0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 applyProtection="1">
      <alignment horizontal="left" vertical="top" wrapText="1"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Protection="1">
      <protection/>
    </xf>
    <xf numFmtId="0" fontId="0" fillId="2" borderId="4" xfId="0" applyFill="1" applyBorder="1" applyProtection="1">
      <protection/>
    </xf>
    <xf numFmtId="0" fontId="0" fillId="2" borderId="5" xfId="0" applyFill="1" applyBorder="1" applyProtection="1">
      <protection/>
    </xf>
    <xf numFmtId="0" fontId="0" fillId="2" borderId="6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 horizontal="right"/>
      <protection/>
    </xf>
    <xf numFmtId="14" fontId="0" fillId="2" borderId="6" xfId="0" applyNumberFormat="1" applyFill="1" applyBorder="1" applyAlignment="1" applyProtection="1">
      <alignment horizontal="left"/>
      <protection locked="0"/>
    </xf>
    <xf numFmtId="14" fontId="0" fillId="2" borderId="6" xfId="0" applyNumberFormat="1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2" fillId="2" borderId="1" xfId="20" applyFont="1" applyFill="1" applyBorder="1" applyAlignment="1" applyProtection="1">
      <alignment horizontal="center" vertical="top" wrapText="1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0" fontId="0" fillId="2" borderId="8" xfId="0" applyFill="1" applyBorder="1" applyProtection="1">
      <protection/>
    </xf>
    <xf numFmtId="0" fontId="0" fillId="2" borderId="9" xfId="0" applyFill="1" applyBorder="1" applyProtection="1">
      <protection/>
    </xf>
    <xf numFmtId="0" fontId="7" fillId="2" borderId="10" xfId="0" applyFont="1" applyFill="1" applyBorder="1" applyAlignment="1" applyProtection="1">
      <alignment horizontal="center" vertical="top" wrapText="1"/>
      <protection/>
    </xf>
    <xf numFmtId="0" fontId="3" fillId="2" borderId="10" xfId="0" applyFont="1" applyFill="1" applyBorder="1" applyAlignment="1" applyProtection="1">
      <alignment horizontal="left" vertical="top" wrapText="1"/>
      <protection/>
    </xf>
    <xf numFmtId="0" fontId="5" fillId="2" borderId="10" xfId="0" applyFont="1" applyFill="1" applyBorder="1" applyAlignment="1" applyProtection="1">
      <alignment horizontal="left" vertical="top" wrapText="1"/>
      <protection/>
    </xf>
    <xf numFmtId="3" fontId="0" fillId="2" borderId="10" xfId="0" applyNumberFormat="1" applyFill="1" applyBorder="1" applyAlignment="1" applyProtection="1">
      <alignment vertical="top" wrapText="1"/>
      <protection/>
    </xf>
    <xf numFmtId="3" fontId="0" fillId="2" borderId="10" xfId="0" applyNumberFormat="1" applyFill="1" applyBorder="1" applyAlignment="1" applyProtection="1">
      <alignment vertical="top" wrapText="1"/>
      <protection locked="0"/>
    </xf>
    <xf numFmtId="9" fontId="6" fillId="2" borderId="10" xfId="0" applyNumberFormat="1" applyFont="1" applyFill="1" applyBorder="1" applyAlignment="1" applyProtection="1">
      <alignment horizontal="center" vertical="top" wrapText="1"/>
      <protection/>
    </xf>
    <xf numFmtId="0" fontId="0" fillId="2" borderId="10" xfId="0" applyFill="1" applyBorder="1" applyProtection="1">
      <protection/>
    </xf>
    <xf numFmtId="3" fontId="9" fillId="0" borderId="1" xfId="0" applyNumberFormat="1" applyFont="1" applyBorder="1" applyAlignment="1" applyProtection="1">
      <alignment vertical="top" wrapText="1"/>
      <protection locked="0"/>
    </xf>
    <xf numFmtId="3" fontId="9" fillId="0" borderId="1" xfId="0" applyNumberFormat="1" applyFont="1" applyBorder="1" applyAlignment="1" applyProtection="1">
      <alignment vertical="top" wrapText="1"/>
      <protection/>
    </xf>
    <xf numFmtId="10" fontId="10" fillId="0" borderId="1" xfId="0" applyNumberFormat="1" applyFont="1" applyFill="1" applyBorder="1" applyAlignment="1" applyProtection="1">
      <alignment horizontal="center" vertical="top" wrapText="1"/>
      <protection/>
    </xf>
    <xf numFmtId="3" fontId="10" fillId="0" borderId="1" xfId="0" applyNumberFormat="1" applyFont="1" applyFill="1" applyBorder="1" applyAlignment="1" applyProtection="1">
      <alignment horizontal="center" vertical="top" wrapText="1"/>
      <protection locked="0"/>
    </xf>
    <xf numFmtId="3" fontId="9" fillId="2" borderId="1" xfId="0" applyNumberFormat="1" applyFont="1" applyFill="1" applyBorder="1" applyAlignment="1" applyProtection="1">
      <alignment vertical="top" wrapText="1"/>
      <protection/>
    </xf>
    <xf numFmtId="10" fontId="10" fillId="2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/>
      <protection/>
    </xf>
    <xf numFmtId="0" fontId="8" fillId="3" borderId="1" xfId="0" applyFont="1" applyFill="1" applyBorder="1" applyAlignment="1" applyProtection="1">
      <alignment horizontal="center" vertical="top" wrapText="1"/>
      <protection/>
    </xf>
    <xf numFmtId="3" fontId="0" fillId="0" borderId="0" xfId="0" applyNumberFormat="1" applyProtection="1">
      <protection/>
    </xf>
    <xf numFmtId="3" fontId="10" fillId="2" borderId="1" xfId="0" applyNumberFormat="1" applyFont="1" applyFill="1" applyBorder="1" applyAlignment="1" applyProtection="1">
      <alignment vertical="top" wrapText="1"/>
      <protection/>
    </xf>
    <xf numFmtId="3" fontId="10" fillId="3" borderId="1" xfId="0" applyNumberFormat="1" applyFont="1" applyFill="1" applyBorder="1" applyAlignment="1" applyProtection="1">
      <alignment vertical="top" wrapText="1"/>
      <protection locked="0"/>
    </xf>
    <xf numFmtId="0" fontId="7" fillId="0" borderId="11" xfId="0" applyFont="1" applyBorder="1" applyAlignment="1" applyProtection="1">
      <alignment horizontal="right" vertical="top" wrapText="1"/>
      <protection/>
    </xf>
    <xf numFmtId="0" fontId="7" fillId="0" borderId="12" xfId="0" applyFont="1" applyBorder="1" applyAlignment="1" applyProtection="1">
      <alignment horizontal="right" vertical="top" wrapText="1"/>
      <protection/>
    </xf>
    <xf numFmtId="0" fontId="0" fillId="0" borderId="0" xfId="0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2" fillId="2" borderId="14" xfId="20" applyFont="1" applyFill="1" applyBorder="1" applyAlignment="1" applyProtection="1">
      <alignment horizontal="center" vertical="center" wrapText="1"/>
      <protection/>
    </xf>
    <xf numFmtId="0" fontId="2" fillId="2" borderId="15" xfId="20" applyFont="1" applyFill="1" applyBorder="1" applyAlignment="1" applyProtection="1">
      <alignment horizontal="center" vertical="center" wrapText="1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0" fontId="4" fillId="2" borderId="11" xfId="0" applyFont="1" applyFill="1" applyBorder="1" applyAlignment="1" applyProtection="1">
      <alignment horizontal="right" vertical="top" wrapText="1"/>
      <protection/>
    </xf>
    <xf numFmtId="0" fontId="4" fillId="2" borderId="10" xfId="0" applyFont="1" applyFill="1" applyBorder="1" applyAlignment="1" applyProtection="1">
      <alignment horizontal="right" vertical="top" wrapText="1"/>
      <protection/>
    </xf>
    <xf numFmtId="0" fontId="4" fillId="2" borderId="12" xfId="0" applyFont="1" applyFill="1" applyBorder="1" applyAlignment="1" applyProtection="1">
      <alignment horizontal="right" vertical="top" wrapText="1"/>
      <protection/>
    </xf>
    <xf numFmtId="0" fontId="2" fillId="2" borderId="11" xfId="20" applyFont="1" applyFill="1" applyBorder="1" applyAlignment="1" applyProtection="1">
      <alignment horizontal="center" vertical="center" wrapText="1"/>
      <protection/>
    </xf>
    <xf numFmtId="0" fontId="2" fillId="2" borderId="10" xfId="20" applyFont="1" applyFill="1" applyBorder="1" applyAlignment="1" applyProtection="1">
      <alignment horizontal="center" vertical="center" wrapText="1"/>
      <protection/>
    </xf>
    <xf numFmtId="0" fontId="2" fillId="2" borderId="12" xfId="2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workbookViewId="0" topLeftCell="A1">
      <selection activeCell="R18" sqref="R18"/>
    </sheetView>
  </sheetViews>
  <sheetFormatPr defaultColWidth="9.140625" defaultRowHeight="15"/>
  <cols>
    <col min="1" max="1" width="1.28515625" style="1" customWidth="1"/>
    <col min="2" max="2" width="37.57421875" style="1" customWidth="1"/>
    <col min="3" max="3" width="50.421875" style="1" customWidth="1"/>
    <col min="4" max="4" width="13.7109375" style="1" customWidth="1"/>
    <col min="5" max="7" width="14.00390625" style="1" bestFit="1" customWidth="1"/>
    <col min="8" max="8" width="15.421875" style="1" bestFit="1" customWidth="1"/>
    <col min="9" max="9" width="13.57421875" style="1" customWidth="1"/>
    <col min="10" max="10" width="12.140625" style="1" customWidth="1"/>
    <col min="11" max="13" width="13.28125" style="1" customWidth="1"/>
    <col min="14" max="14" width="15.57421875" style="1" customWidth="1"/>
    <col min="15" max="15" width="1.28515625" style="1" customWidth="1"/>
    <col min="16" max="16" width="7.7109375" style="1" customWidth="1"/>
    <col min="17" max="16384" width="9.140625" style="1" customWidth="1"/>
  </cols>
  <sheetData>
    <row r="1" spans="1:14" ht="15">
      <c r="A1" s="39" t="s">
        <v>67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6" ht="1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32"/>
      <c r="P2" s="32"/>
    </row>
    <row r="3" spans="1:15" ht="15">
      <c r="A3" s="6"/>
      <c r="B3" s="10"/>
      <c r="C3" s="11"/>
      <c r="D3" s="10"/>
      <c r="E3" s="10"/>
      <c r="F3" s="11" t="s">
        <v>32</v>
      </c>
      <c r="G3" s="12">
        <v>42582</v>
      </c>
      <c r="H3" s="13"/>
      <c r="I3" s="13"/>
      <c r="J3" s="13"/>
      <c r="K3" s="10"/>
      <c r="L3" s="10"/>
      <c r="M3" s="10"/>
      <c r="N3" s="10"/>
      <c r="O3" s="14"/>
    </row>
    <row r="4" spans="1:15" ht="35.25" customHeight="1">
      <c r="A4" s="7"/>
      <c r="B4" s="43" t="s">
        <v>53</v>
      </c>
      <c r="C4" s="43" t="s">
        <v>54</v>
      </c>
      <c r="D4" s="43" t="s">
        <v>55</v>
      </c>
      <c r="E4" s="47" t="s">
        <v>56</v>
      </c>
      <c r="F4" s="48"/>
      <c r="G4" s="48"/>
      <c r="H4" s="49"/>
      <c r="I4" s="43" t="s">
        <v>57</v>
      </c>
      <c r="J4" s="41" t="s">
        <v>58</v>
      </c>
      <c r="K4" s="47" t="s">
        <v>65</v>
      </c>
      <c r="L4" s="48"/>
      <c r="M4" s="49"/>
      <c r="N4" s="41" t="s">
        <v>52</v>
      </c>
      <c r="O4" s="7"/>
    </row>
    <row r="5" spans="1:15" ht="15">
      <c r="A5" s="7"/>
      <c r="B5" s="43"/>
      <c r="C5" s="43"/>
      <c r="D5" s="43"/>
      <c r="E5" s="15" t="s">
        <v>59</v>
      </c>
      <c r="F5" s="15" t="s">
        <v>60</v>
      </c>
      <c r="G5" s="15" t="s">
        <v>61</v>
      </c>
      <c r="H5" s="15" t="s">
        <v>62</v>
      </c>
      <c r="I5" s="43"/>
      <c r="J5" s="42"/>
      <c r="K5" s="16" t="s">
        <v>63</v>
      </c>
      <c r="L5" s="16" t="s">
        <v>64</v>
      </c>
      <c r="M5" s="16" t="s">
        <v>62</v>
      </c>
      <c r="N5" s="42"/>
      <c r="O5" s="7"/>
    </row>
    <row r="6" spans="1:15" ht="15">
      <c r="A6" s="7"/>
      <c r="B6" s="2">
        <v>1</v>
      </c>
      <c r="C6" s="2">
        <v>3</v>
      </c>
      <c r="D6" s="2">
        <v>2</v>
      </c>
      <c r="E6" s="2">
        <v>4</v>
      </c>
      <c r="F6" s="2">
        <v>5</v>
      </c>
      <c r="G6" s="2">
        <v>6</v>
      </c>
      <c r="H6" s="2">
        <v>7</v>
      </c>
      <c r="I6" s="33">
        <v>8</v>
      </c>
      <c r="J6" s="2" t="s">
        <v>50</v>
      </c>
      <c r="K6" s="2">
        <v>10</v>
      </c>
      <c r="L6" s="2">
        <v>11</v>
      </c>
      <c r="M6" s="2">
        <v>12</v>
      </c>
      <c r="N6" s="2" t="s">
        <v>66</v>
      </c>
      <c r="O6" s="7"/>
    </row>
    <row r="7" spans="1:16" ht="25.5">
      <c r="A7" s="7"/>
      <c r="B7" s="3" t="s">
        <v>41</v>
      </c>
      <c r="C7" s="3" t="s">
        <v>13</v>
      </c>
      <c r="D7" s="4" t="s">
        <v>0</v>
      </c>
      <c r="E7" s="26">
        <v>1372000</v>
      </c>
      <c r="F7" s="26">
        <v>664600</v>
      </c>
      <c r="G7" s="26">
        <v>0</v>
      </c>
      <c r="H7" s="27">
        <f>SUM(E7:G7)</f>
        <v>2036600</v>
      </c>
      <c r="I7" s="36">
        <f>620701+77022</f>
        <v>697723</v>
      </c>
      <c r="J7" s="28">
        <f>I7/H7</f>
        <v>0.3425920652067171</v>
      </c>
      <c r="K7" s="29">
        <v>166000</v>
      </c>
      <c r="L7" s="29">
        <f>223100+206395+52523+68956+54170+44648+36755+60185+74891+65000+116675</f>
        <v>1003298</v>
      </c>
      <c r="M7" s="27">
        <f>K7+L7</f>
        <v>1169298</v>
      </c>
      <c r="N7" s="28">
        <f aca="true" t="shared" si="0" ref="N7:N20">M7/(E7+F7)</f>
        <v>0.5741421977806147</v>
      </c>
      <c r="O7" s="7"/>
      <c r="P7" s="34"/>
    </row>
    <row r="8" spans="1:16" ht="25.5">
      <c r="A8" s="7"/>
      <c r="B8" s="3" t="s">
        <v>42</v>
      </c>
      <c r="C8" s="3" t="s">
        <v>14</v>
      </c>
      <c r="D8" s="4" t="s">
        <v>1</v>
      </c>
      <c r="E8" s="26">
        <v>8000000</v>
      </c>
      <c r="F8" s="26">
        <v>0</v>
      </c>
      <c r="G8" s="26">
        <f>9411765-E8</f>
        <v>1411765</v>
      </c>
      <c r="H8" s="27">
        <f>SUM(E8:G8)</f>
        <v>9411765</v>
      </c>
      <c r="I8" s="36">
        <f>3766315+51748</f>
        <v>3818063</v>
      </c>
      <c r="J8" s="28">
        <f aca="true" t="shared" si="1" ref="J8:J29">I8/H8</f>
        <v>0.4056691810728381</v>
      </c>
      <c r="K8" s="29">
        <f>2280840</f>
        <v>2280840</v>
      </c>
      <c r="L8" s="29">
        <f>24331+403104+381927+1126022+1782438</f>
        <v>3717822</v>
      </c>
      <c r="M8" s="27">
        <f aca="true" t="shared" si="2" ref="M8:M19">K8+L8</f>
        <v>5998662</v>
      </c>
      <c r="N8" s="28">
        <f t="shared" si="0"/>
        <v>0.74983275</v>
      </c>
      <c r="O8" s="7"/>
      <c r="P8" s="34"/>
    </row>
    <row r="9" spans="1:16" ht="25.5">
      <c r="A9" s="7"/>
      <c r="B9" s="3" t="s">
        <v>42</v>
      </c>
      <c r="C9" s="3" t="s">
        <v>15</v>
      </c>
      <c r="D9" s="4" t="s">
        <v>2</v>
      </c>
      <c r="E9" s="26">
        <v>8000000</v>
      </c>
      <c r="F9" s="26">
        <v>0</v>
      </c>
      <c r="G9" s="26">
        <f>9411765-E9</f>
        <v>1411765</v>
      </c>
      <c r="H9" s="27">
        <f aca="true" t="shared" si="3" ref="H9:H18">SUM(E9:G9)</f>
        <v>9411765</v>
      </c>
      <c r="I9" s="36">
        <f>2352747+40936</f>
        <v>2393683</v>
      </c>
      <c r="J9" s="28">
        <f t="shared" si="1"/>
        <v>0.25432881080222464</v>
      </c>
      <c r="K9" s="29">
        <f>40000+1579084</f>
        <v>1619084</v>
      </c>
      <c r="L9" s="29">
        <f>309992+2393044+973943</f>
        <v>3676979</v>
      </c>
      <c r="M9" s="27">
        <f t="shared" si="2"/>
        <v>5296063</v>
      </c>
      <c r="N9" s="28">
        <f t="shared" si="0"/>
        <v>0.662007875</v>
      </c>
      <c r="O9" s="7"/>
      <c r="P9" s="34"/>
    </row>
    <row r="10" spans="1:15" ht="25.5">
      <c r="A10" s="7"/>
      <c r="B10" s="3" t="s">
        <v>43</v>
      </c>
      <c r="C10" s="3" t="s">
        <v>16</v>
      </c>
      <c r="D10" s="4" t="s">
        <v>3</v>
      </c>
      <c r="E10" s="26">
        <v>13260245</v>
      </c>
      <c r="F10" s="26">
        <v>0</v>
      </c>
      <c r="G10" s="26">
        <f>15600288-E10</f>
        <v>2340043</v>
      </c>
      <c r="H10" s="27">
        <f t="shared" si="3"/>
        <v>15600288</v>
      </c>
      <c r="I10" s="36">
        <f>4671093+632150</f>
        <v>5303243</v>
      </c>
      <c r="J10" s="28">
        <f t="shared" si="1"/>
        <v>0.3399451984476184</v>
      </c>
      <c r="K10" s="29">
        <f>677451</f>
        <v>677451</v>
      </c>
      <c r="L10" s="29">
        <f>4838958+4350503</f>
        <v>9189461</v>
      </c>
      <c r="M10" s="27">
        <f t="shared" si="2"/>
        <v>9866912</v>
      </c>
      <c r="N10" s="28">
        <f t="shared" si="0"/>
        <v>0.7440972621546585</v>
      </c>
      <c r="O10" s="7"/>
    </row>
    <row r="11" spans="1:16" ht="25.5">
      <c r="A11" s="7"/>
      <c r="B11" s="3" t="s">
        <v>44</v>
      </c>
      <c r="C11" s="3" t="s">
        <v>17</v>
      </c>
      <c r="D11" s="4" t="s">
        <v>4</v>
      </c>
      <c r="E11" s="26">
        <v>8630113</v>
      </c>
      <c r="F11" s="26">
        <v>0</v>
      </c>
      <c r="G11" s="26">
        <f>1522961</f>
        <v>1522961</v>
      </c>
      <c r="H11" s="27">
        <f>E11+G11</f>
        <v>10153074</v>
      </c>
      <c r="I11" s="36">
        <f>7791093-1004</f>
        <v>7790089</v>
      </c>
      <c r="J11" s="28">
        <f t="shared" si="1"/>
        <v>0.7672640817943412</v>
      </c>
      <c r="K11" s="29">
        <f>39300+198616</f>
        <v>237916</v>
      </c>
      <c r="L11" s="29">
        <f>2906528+667250+1165350+1532550+548250+448800</f>
        <v>7268728</v>
      </c>
      <c r="M11" s="27">
        <f t="shared" si="2"/>
        <v>7506644</v>
      </c>
      <c r="N11" s="28">
        <f t="shared" si="0"/>
        <v>0.8698198969121261</v>
      </c>
      <c r="O11" s="7"/>
      <c r="P11" s="34"/>
    </row>
    <row r="12" spans="1:16" ht="15">
      <c r="A12" s="7"/>
      <c r="B12" s="3" t="s">
        <v>45</v>
      </c>
      <c r="C12" s="3" t="s">
        <v>18</v>
      </c>
      <c r="D12" s="4" t="s">
        <v>5</v>
      </c>
      <c r="E12" s="26">
        <v>5650000</v>
      </c>
      <c r="F12" s="26">
        <v>7765000</v>
      </c>
      <c r="G12" s="26">
        <f>15782353-F12-E12</f>
        <v>2367353</v>
      </c>
      <c r="H12" s="27">
        <f>SUM(E12:G12)</f>
        <v>15782353</v>
      </c>
      <c r="I12" s="36">
        <f>2232281+205891</f>
        <v>2438172</v>
      </c>
      <c r="J12" s="28">
        <f t="shared" si="1"/>
        <v>0.15448723013608934</v>
      </c>
      <c r="K12" s="29">
        <v>2110282</v>
      </c>
      <c r="L12" s="29">
        <f>559781+180637+548663+598400+790863</f>
        <v>2678344</v>
      </c>
      <c r="M12" s="27">
        <f t="shared" si="2"/>
        <v>4788626</v>
      </c>
      <c r="N12" s="28">
        <f t="shared" si="0"/>
        <v>0.35696056653000374</v>
      </c>
      <c r="O12" s="7"/>
      <c r="P12" s="34"/>
    </row>
    <row r="13" spans="1:16" ht="15">
      <c r="A13" s="7"/>
      <c r="B13" s="3" t="s">
        <v>46</v>
      </c>
      <c r="C13" s="3" t="s">
        <v>19</v>
      </c>
      <c r="D13" s="4" t="s">
        <v>6</v>
      </c>
      <c r="E13" s="26">
        <v>14000000</v>
      </c>
      <c r="F13" s="26">
        <v>0</v>
      </c>
      <c r="G13" s="26">
        <f>16470588-E13</f>
        <v>2470588</v>
      </c>
      <c r="H13" s="27">
        <f t="shared" si="3"/>
        <v>16470588</v>
      </c>
      <c r="I13" s="36">
        <f>4480525+185386</f>
        <v>4665911</v>
      </c>
      <c r="J13" s="28">
        <f t="shared" si="1"/>
        <v>0.28328745761839225</v>
      </c>
      <c r="K13" s="29">
        <f>25000+2811102</f>
        <v>2836102</v>
      </c>
      <c r="L13" s="29">
        <f>2225+3783761+2443970+2142583</f>
        <v>8372539</v>
      </c>
      <c r="M13" s="27">
        <f t="shared" si="2"/>
        <v>11208641</v>
      </c>
      <c r="N13" s="28">
        <f t="shared" si="0"/>
        <v>0.8006172142857143</v>
      </c>
      <c r="O13" s="7"/>
      <c r="P13" s="34"/>
    </row>
    <row r="14" spans="1:16" ht="25.5">
      <c r="A14" s="7"/>
      <c r="B14" s="3" t="s">
        <v>47</v>
      </c>
      <c r="C14" s="3" t="s">
        <v>20</v>
      </c>
      <c r="D14" s="4" t="s">
        <v>7</v>
      </c>
      <c r="E14" s="26">
        <v>1500000</v>
      </c>
      <c r="F14" s="26">
        <v>0</v>
      </c>
      <c r="G14" s="26">
        <f>1764706-E14</f>
        <v>264706</v>
      </c>
      <c r="H14" s="27">
        <f t="shared" si="3"/>
        <v>1764706</v>
      </c>
      <c r="I14" s="36">
        <f>1082108+3620</f>
        <v>1085728</v>
      </c>
      <c r="J14" s="28">
        <f t="shared" si="1"/>
        <v>0.6152458256502783</v>
      </c>
      <c r="K14" s="29">
        <f>7500+287915</f>
        <v>295415</v>
      </c>
      <c r="L14" s="29">
        <f>815632+131207</f>
        <v>946839</v>
      </c>
      <c r="M14" s="27">
        <f t="shared" si="2"/>
        <v>1242254</v>
      </c>
      <c r="N14" s="28">
        <f t="shared" si="0"/>
        <v>0.8281693333333333</v>
      </c>
      <c r="O14" s="7"/>
      <c r="P14" s="34"/>
    </row>
    <row r="15" spans="1:16" ht="38.25">
      <c r="A15" s="7"/>
      <c r="B15" s="3" t="s">
        <v>41</v>
      </c>
      <c r="C15" s="3" t="s">
        <v>21</v>
      </c>
      <c r="D15" s="4" t="s">
        <v>8</v>
      </c>
      <c r="E15" s="26">
        <v>0</v>
      </c>
      <c r="F15" s="26">
        <v>2016000</v>
      </c>
      <c r="G15" s="26">
        <f>2371765-F15</f>
        <v>355765</v>
      </c>
      <c r="H15" s="27">
        <f t="shared" si="3"/>
        <v>2371765</v>
      </c>
      <c r="I15" s="36">
        <f>1518463+145752</f>
        <v>1664215</v>
      </c>
      <c r="J15" s="28">
        <f t="shared" si="1"/>
        <v>0.7016778643752648</v>
      </c>
      <c r="K15" s="29">
        <f>10080+206472</f>
        <v>216552</v>
      </c>
      <c r="L15" s="29">
        <f>1002915+176885+217855+183090+168001+11475</f>
        <v>1760221</v>
      </c>
      <c r="M15" s="27">
        <f t="shared" si="2"/>
        <v>1976773</v>
      </c>
      <c r="N15" s="28">
        <f t="shared" si="0"/>
        <v>0.9805421626984127</v>
      </c>
      <c r="O15" s="7"/>
      <c r="P15" s="34"/>
    </row>
    <row r="16" spans="1:16" ht="15">
      <c r="A16" s="7"/>
      <c r="B16" s="3" t="s">
        <v>48</v>
      </c>
      <c r="C16" s="3" t="s">
        <v>22</v>
      </c>
      <c r="D16" s="4" t="s">
        <v>9</v>
      </c>
      <c r="E16" s="26">
        <v>0</v>
      </c>
      <c r="F16" s="26">
        <v>2000000</v>
      </c>
      <c r="G16" s="26">
        <f>2352941-F16</f>
        <v>352941</v>
      </c>
      <c r="H16" s="27">
        <f t="shared" si="3"/>
        <v>2352941</v>
      </c>
      <c r="I16" s="36">
        <f>640964+227016</f>
        <v>867980</v>
      </c>
      <c r="J16" s="28">
        <f t="shared" si="1"/>
        <v>0.36889152766686456</v>
      </c>
      <c r="K16" s="29">
        <f>10000+395260</f>
        <v>405260</v>
      </c>
      <c r="L16" s="29">
        <f>46750+278800</f>
        <v>325550</v>
      </c>
      <c r="M16" s="27">
        <f t="shared" si="2"/>
        <v>730810</v>
      </c>
      <c r="N16" s="28">
        <f t="shared" si="0"/>
        <v>0.365405</v>
      </c>
      <c r="O16" s="7"/>
      <c r="P16" s="34"/>
    </row>
    <row r="17" spans="1:16" ht="38.25">
      <c r="A17" s="7"/>
      <c r="B17" s="3" t="s">
        <v>48</v>
      </c>
      <c r="C17" s="3" t="s">
        <v>23</v>
      </c>
      <c r="D17" s="4" t="s">
        <v>10</v>
      </c>
      <c r="E17" s="26">
        <v>0</v>
      </c>
      <c r="F17" s="26">
        <v>6000000</v>
      </c>
      <c r="G17" s="26">
        <f>7058823-F17</f>
        <v>1058823</v>
      </c>
      <c r="H17" s="27">
        <f t="shared" si="3"/>
        <v>7058823</v>
      </c>
      <c r="I17" s="36">
        <f>3721151+162545</f>
        <v>3883696</v>
      </c>
      <c r="J17" s="28">
        <f t="shared" si="1"/>
        <v>0.5501903079309398</v>
      </c>
      <c r="K17" s="29">
        <v>1647499</v>
      </c>
      <c r="L17" s="29">
        <v>2853134</v>
      </c>
      <c r="M17" s="27">
        <f t="shared" si="2"/>
        <v>4500633</v>
      </c>
      <c r="N17" s="28">
        <f t="shared" si="0"/>
        <v>0.7501055</v>
      </c>
      <c r="O17" s="7"/>
      <c r="P17" s="34"/>
    </row>
    <row r="18" spans="1:16" ht="28.5" customHeight="1">
      <c r="A18" s="7"/>
      <c r="B18" s="3" t="s">
        <v>49</v>
      </c>
      <c r="C18" s="3" t="s">
        <v>24</v>
      </c>
      <c r="D18" s="4" t="s">
        <v>11</v>
      </c>
      <c r="E18" s="26">
        <v>0</v>
      </c>
      <c r="F18" s="26">
        <f>3091000</f>
        <v>3091000</v>
      </c>
      <c r="G18" s="26">
        <v>545471</v>
      </c>
      <c r="H18" s="27">
        <f t="shared" si="3"/>
        <v>3636471</v>
      </c>
      <c r="I18" s="36">
        <f>2954045+85634</f>
        <v>3039679</v>
      </c>
      <c r="J18" s="28">
        <f t="shared" si="1"/>
        <v>0.8358870454349835</v>
      </c>
      <c r="K18" s="29">
        <f>15000+483612</f>
        <v>498612</v>
      </c>
      <c r="L18" s="29">
        <f>2369852+8500+175749</f>
        <v>2554101</v>
      </c>
      <c r="M18" s="27">
        <f t="shared" si="2"/>
        <v>3052713</v>
      </c>
      <c r="N18" s="28">
        <f t="shared" si="0"/>
        <v>0.987613393723714</v>
      </c>
      <c r="O18" s="7"/>
      <c r="P18" s="34"/>
    </row>
    <row r="19" spans="1:16" ht="25.5">
      <c r="A19" s="7"/>
      <c r="B19" s="3" t="s">
        <v>49</v>
      </c>
      <c r="C19" s="3" t="s">
        <v>25</v>
      </c>
      <c r="D19" s="5" t="s">
        <v>12</v>
      </c>
      <c r="E19" s="26">
        <v>0</v>
      </c>
      <c r="F19" s="26">
        <v>8604400</v>
      </c>
      <c r="G19" s="26">
        <v>1518424</v>
      </c>
      <c r="H19" s="27">
        <f>SUM(E19:G19)</f>
        <v>10122824</v>
      </c>
      <c r="I19" s="36">
        <f>7599217+27906</f>
        <v>7627123</v>
      </c>
      <c r="J19" s="28">
        <f t="shared" si="1"/>
        <v>0.7534580271276079</v>
      </c>
      <c r="K19" s="29">
        <f>35000+1166337</f>
        <v>1201337</v>
      </c>
      <c r="L19" s="29">
        <f>4110730+33966+1653845</f>
        <v>5798541</v>
      </c>
      <c r="M19" s="27">
        <f t="shared" si="2"/>
        <v>6999878</v>
      </c>
      <c r="N19" s="28">
        <f t="shared" si="0"/>
        <v>0.8135230812142624</v>
      </c>
      <c r="O19" s="7"/>
      <c r="P19" s="34"/>
    </row>
    <row r="20" spans="1:15" ht="15">
      <c r="A20" s="7"/>
      <c r="B20" s="44" t="s">
        <v>31</v>
      </c>
      <c r="C20" s="45"/>
      <c r="D20" s="46"/>
      <c r="E20" s="30">
        <f>SUM(E7:E19)</f>
        <v>60412358</v>
      </c>
      <c r="F20" s="30">
        <f>SUM(F7:F19)</f>
        <v>30141000</v>
      </c>
      <c r="G20" s="30">
        <f>SUM(G7:G19)</f>
        <v>15620605</v>
      </c>
      <c r="H20" s="30">
        <f>SUM(E20:G20)</f>
        <v>106173963</v>
      </c>
      <c r="I20" s="35">
        <f>SUM(I7:I19)</f>
        <v>45275305</v>
      </c>
      <c r="J20" s="31">
        <f t="shared" si="1"/>
        <v>0.4264256859282911</v>
      </c>
      <c r="K20" s="30">
        <f>SUM(K7:K19)</f>
        <v>14192350</v>
      </c>
      <c r="L20" s="35">
        <f>SUM(L7:L19)</f>
        <v>50145557</v>
      </c>
      <c r="M20" s="35">
        <f aca="true" t="shared" si="4" ref="M20:M29">K20+L20</f>
        <v>64337907</v>
      </c>
      <c r="N20" s="31">
        <f t="shared" si="0"/>
        <v>0.7104971965810478</v>
      </c>
      <c r="O20" s="7"/>
    </row>
    <row r="21" spans="1:15" ht="9.75" customHeight="1">
      <c r="A21" s="8"/>
      <c r="B21" s="19"/>
      <c r="C21" s="20"/>
      <c r="D21" s="21"/>
      <c r="E21" s="22"/>
      <c r="F21" s="22"/>
      <c r="G21" s="22"/>
      <c r="H21" s="22"/>
      <c r="I21" s="22"/>
      <c r="J21" s="22"/>
      <c r="K21" s="23"/>
      <c r="L21" s="23"/>
      <c r="M21" s="22"/>
      <c r="N21" s="24"/>
      <c r="O21" s="17"/>
    </row>
    <row r="22" spans="1:15" ht="15">
      <c r="A22" s="7"/>
      <c r="B22" s="37" t="s">
        <v>33</v>
      </c>
      <c r="C22" s="38"/>
      <c r="D22" s="5" t="s">
        <v>26</v>
      </c>
      <c r="E22" s="27">
        <f>E15+E7</f>
        <v>1372000</v>
      </c>
      <c r="F22" s="27">
        <f>F15+F7</f>
        <v>2680600</v>
      </c>
      <c r="G22" s="27">
        <f>G15+G7</f>
        <v>355765</v>
      </c>
      <c r="H22" s="27">
        <f>H15+H7</f>
        <v>4408365</v>
      </c>
      <c r="I22" s="27">
        <f>I15+I7</f>
        <v>2361938</v>
      </c>
      <c r="J22" s="28">
        <f t="shared" si="1"/>
        <v>0.5357854896316435</v>
      </c>
      <c r="K22" s="27">
        <f>K15+K7</f>
        <v>382552</v>
      </c>
      <c r="L22" s="27">
        <f>L15+L7</f>
        <v>2763519</v>
      </c>
      <c r="M22" s="27">
        <f t="shared" si="4"/>
        <v>3146071</v>
      </c>
      <c r="N22" s="28">
        <f aca="true" t="shared" si="5" ref="N22:N29">M22/(E22+F22)</f>
        <v>0.7763092829294773</v>
      </c>
      <c r="O22" s="7"/>
    </row>
    <row r="23" spans="1:15" ht="15">
      <c r="A23" s="7"/>
      <c r="B23" s="37" t="s">
        <v>34</v>
      </c>
      <c r="C23" s="38"/>
      <c r="D23" s="5" t="s">
        <v>27</v>
      </c>
      <c r="E23" s="27">
        <f>E8+E9</f>
        <v>16000000</v>
      </c>
      <c r="F23" s="27">
        <f>F8+F9</f>
        <v>0</v>
      </c>
      <c r="G23" s="27">
        <f>G8+G9</f>
        <v>2823530</v>
      </c>
      <c r="H23" s="27">
        <f>H8+H9</f>
        <v>18823530</v>
      </c>
      <c r="I23" s="27">
        <f>I8+I9</f>
        <v>6211746</v>
      </c>
      <c r="J23" s="28">
        <f t="shared" si="1"/>
        <v>0.3299989959375314</v>
      </c>
      <c r="K23" s="27">
        <f>K8+K9</f>
        <v>3899924</v>
      </c>
      <c r="L23" s="27">
        <f>L8+L9</f>
        <v>7394801</v>
      </c>
      <c r="M23" s="27">
        <f t="shared" si="4"/>
        <v>11294725</v>
      </c>
      <c r="N23" s="28">
        <f t="shared" si="5"/>
        <v>0.7059203125</v>
      </c>
      <c r="O23" s="7"/>
    </row>
    <row r="24" spans="1:15" ht="15">
      <c r="A24" s="7"/>
      <c r="B24" s="37" t="s">
        <v>35</v>
      </c>
      <c r="C24" s="38"/>
      <c r="D24" s="5" t="s">
        <v>3</v>
      </c>
      <c r="E24" s="27">
        <f>E10</f>
        <v>13260245</v>
      </c>
      <c r="F24" s="27">
        <f>F10</f>
        <v>0</v>
      </c>
      <c r="G24" s="27">
        <f>G10</f>
        <v>2340043</v>
      </c>
      <c r="H24" s="27">
        <f>H10</f>
        <v>15600288</v>
      </c>
      <c r="I24" s="27">
        <f>I10</f>
        <v>5303243</v>
      </c>
      <c r="J24" s="28">
        <f t="shared" si="1"/>
        <v>0.3399451984476184</v>
      </c>
      <c r="K24" s="27">
        <f>K10</f>
        <v>677451</v>
      </c>
      <c r="L24" s="27">
        <f>L10</f>
        <v>9189461</v>
      </c>
      <c r="M24" s="27">
        <f t="shared" si="4"/>
        <v>9866912</v>
      </c>
      <c r="N24" s="28">
        <f t="shared" si="5"/>
        <v>0.7440972621546585</v>
      </c>
      <c r="O24" s="7"/>
    </row>
    <row r="25" spans="1:15" ht="15">
      <c r="A25" s="7"/>
      <c r="B25" s="37" t="s">
        <v>36</v>
      </c>
      <c r="C25" s="38"/>
      <c r="D25" s="5" t="s">
        <v>30</v>
      </c>
      <c r="E25" s="27">
        <f>E11+E14</f>
        <v>10130113</v>
      </c>
      <c r="F25" s="27">
        <f>F11+F14</f>
        <v>0</v>
      </c>
      <c r="G25" s="27">
        <f>G11+G14</f>
        <v>1787667</v>
      </c>
      <c r="H25" s="27">
        <f>H11+H14</f>
        <v>11917780</v>
      </c>
      <c r="I25" s="27">
        <f>I11+I14</f>
        <v>8875817</v>
      </c>
      <c r="J25" s="28">
        <f t="shared" si="1"/>
        <v>0.7447542243605773</v>
      </c>
      <c r="K25" s="27">
        <f>K11+K14</f>
        <v>533331</v>
      </c>
      <c r="L25" s="27">
        <f>L11+L14</f>
        <v>8215567</v>
      </c>
      <c r="M25" s="27">
        <f t="shared" si="4"/>
        <v>8748898</v>
      </c>
      <c r="N25" s="28">
        <f t="shared" si="5"/>
        <v>0.8636525574788751</v>
      </c>
      <c r="O25" s="7"/>
    </row>
    <row r="26" spans="1:15" ht="15">
      <c r="A26" s="7"/>
      <c r="B26" s="37" t="s">
        <v>37</v>
      </c>
      <c r="C26" s="38"/>
      <c r="D26" s="5" t="s">
        <v>5</v>
      </c>
      <c r="E26" s="27">
        <f aca="true" t="shared" si="6" ref="E26:I27">E12</f>
        <v>5650000</v>
      </c>
      <c r="F26" s="27">
        <f t="shared" si="6"/>
        <v>7765000</v>
      </c>
      <c r="G26" s="27">
        <f t="shared" si="6"/>
        <v>2367353</v>
      </c>
      <c r="H26" s="27">
        <f t="shared" si="6"/>
        <v>15782353</v>
      </c>
      <c r="I26" s="27">
        <f t="shared" si="6"/>
        <v>2438172</v>
      </c>
      <c r="J26" s="28">
        <f t="shared" si="1"/>
        <v>0.15448723013608934</v>
      </c>
      <c r="K26" s="27">
        <f aca="true" t="shared" si="7" ref="K26:L26">K12</f>
        <v>2110282</v>
      </c>
      <c r="L26" s="27">
        <f t="shared" si="7"/>
        <v>2678344</v>
      </c>
      <c r="M26" s="27">
        <f t="shared" si="4"/>
        <v>4788626</v>
      </c>
      <c r="N26" s="28">
        <f t="shared" si="5"/>
        <v>0.35696056653000374</v>
      </c>
      <c r="O26" s="7"/>
    </row>
    <row r="27" spans="1:15" ht="15">
      <c r="A27" s="7"/>
      <c r="B27" s="37" t="s">
        <v>38</v>
      </c>
      <c r="C27" s="38"/>
      <c r="D27" s="5" t="s">
        <v>6</v>
      </c>
      <c r="E27" s="27">
        <f t="shared" si="6"/>
        <v>14000000</v>
      </c>
      <c r="F27" s="27">
        <f t="shared" si="6"/>
        <v>0</v>
      </c>
      <c r="G27" s="27">
        <f t="shared" si="6"/>
        <v>2470588</v>
      </c>
      <c r="H27" s="27">
        <f t="shared" si="6"/>
        <v>16470588</v>
      </c>
      <c r="I27" s="27">
        <f t="shared" si="6"/>
        <v>4665911</v>
      </c>
      <c r="J27" s="28">
        <f t="shared" si="1"/>
        <v>0.28328745761839225</v>
      </c>
      <c r="K27" s="27">
        <f aca="true" t="shared" si="8" ref="K27:L27">K13</f>
        <v>2836102</v>
      </c>
      <c r="L27" s="27">
        <f t="shared" si="8"/>
        <v>8372539</v>
      </c>
      <c r="M27" s="27">
        <f t="shared" si="4"/>
        <v>11208641</v>
      </c>
      <c r="N27" s="28">
        <f t="shared" si="5"/>
        <v>0.8006172142857143</v>
      </c>
      <c r="O27" s="7"/>
    </row>
    <row r="28" spans="1:15" ht="15">
      <c r="A28" s="7"/>
      <c r="B28" s="37" t="s">
        <v>39</v>
      </c>
      <c r="C28" s="38"/>
      <c r="D28" s="5" t="s">
        <v>28</v>
      </c>
      <c r="E28" s="27">
        <f>E17+E16</f>
        <v>0</v>
      </c>
      <c r="F28" s="27">
        <f>F17+F16</f>
        <v>8000000</v>
      </c>
      <c r="G28" s="27">
        <f>G17+G16</f>
        <v>1411764</v>
      </c>
      <c r="H28" s="27">
        <f>H17+H16</f>
        <v>9411764</v>
      </c>
      <c r="I28" s="27">
        <f>I17+I16</f>
        <v>4751676</v>
      </c>
      <c r="J28" s="28">
        <f t="shared" si="1"/>
        <v>0.5048656128649209</v>
      </c>
      <c r="K28" s="27">
        <f>K17+K16</f>
        <v>2052759</v>
      </c>
      <c r="L28" s="27">
        <f>L17+L16</f>
        <v>3178684</v>
      </c>
      <c r="M28" s="27">
        <f t="shared" si="4"/>
        <v>5231443</v>
      </c>
      <c r="N28" s="28">
        <f t="shared" si="5"/>
        <v>0.653930375</v>
      </c>
      <c r="O28" s="7"/>
    </row>
    <row r="29" spans="1:15" ht="15">
      <c r="A29" s="7"/>
      <c r="B29" s="37" t="s">
        <v>40</v>
      </c>
      <c r="C29" s="38"/>
      <c r="D29" s="5" t="s">
        <v>29</v>
      </c>
      <c r="E29" s="27">
        <f>E18+E19</f>
        <v>0</v>
      </c>
      <c r="F29" s="27">
        <f>F18+F19</f>
        <v>11695400</v>
      </c>
      <c r="G29" s="27">
        <f>G18+G19</f>
        <v>2063895</v>
      </c>
      <c r="H29" s="27">
        <f>H18+H19</f>
        <v>13759295</v>
      </c>
      <c r="I29" s="27">
        <f>I18+I19</f>
        <v>10666802</v>
      </c>
      <c r="J29" s="28">
        <f t="shared" si="1"/>
        <v>0.7752433536747341</v>
      </c>
      <c r="K29" s="27">
        <f>K18+K19</f>
        <v>1699949</v>
      </c>
      <c r="L29" s="27">
        <f>L18+L19</f>
        <v>8352642</v>
      </c>
      <c r="M29" s="27">
        <f t="shared" si="4"/>
        <v>10052591</v>
      </c>
      <c r="N29" s="28">
        <f t="shared" si="5"/>
        <v>0.8595337483113019</v>
      </c>
      <c r="O29" s="7"/>
    </row>
    <row r="30" spans="1:15" ht="8.25" customHeight="1">
      <c r="A30" s="9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18"/>
    </row>
    <row r="31" ht="15">
      <c r="B31" s="1" t="s">
        <v>51</v>
      </c>
    </row>
  </sheetData>
  <mergeCells count="18">
    <mergeCell ref="A1:N2"/>
    <mergeCell ref="N4:N5"/>
    <mergeCell ref="B22:C22"/>
    <mergeCell ref="B23:C23"/>
    <mergeCell ref="B24:C24"/>
    <mergeCell ref="C4:C5"/>
    <mergeCell ref="D4:D5"/>
    <mergeCell ref="B4:B5"/>
    <mergeCell ref="B20:D20"/>
    <mergeCell ref="E4:H4"/>
    <mergeCell ref="I4:I5"/>
    <mergeCell ref="J4:J5"/>
    <mergeCell ref="K4:M4"/>
    <mergeCell ref="B25:C25"/>
    <mergeCell ref="B26:C26"/>
    <mergeCell ref="B27:C27"/>
    <mergeCell ref="B28:C28"/>
    <mergeCell ref="B29:C2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Справка ЕИП Publicity</dc:title>
  <dc:subject/>
  <dc:creator/>
  <cp:keywords/>
  <dc:description/>
  <cp:lastModifiedBy/>
  <dcterms:created xsi:type="dcterms:W3CDTF">2006-09-16T00:00:00Z</dcterms:created>
  <dcterms:modified xsi:type="dcterms:W3CDTF">2016-08-12T07:05:57Z</dcterms:modified>
  <cp:category/>
  <cp:version/>
  <cp:contentType/>
  <cp:contentStatus/>
</cp:coreProperties>
</file>