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1970" windowHeight="2205" tabRatio="612" activeTab="0"/>
  </bookViews>
  <sheets>
    <sheet name="FinInf" sheetId="1" r:id="rId1"/>
  </sheets>
  <definedNames>
    <definedName name="_xlnm.Print_Area" localSheetId="0">'FinInf'!$A$1:$I$44</definedName>
  </definedNames>
  <calcPr fullCalcOnLoad="1"/>
</workbook>
</file>

<file path=xl/sharedStrings.xml><?xml version="1.0" encoding="utf-8"?>
<sst xmlns="http://schemas.openxmlformats.org/spreadsheetml/2006/main" count="77" uniqueCount="66">
  <si>
    <t>Total</t>
  </si>
  <si>
    <t>BG2004/006-070</t>
  </si>
  <si>
    <t>National Programme (Part I)</t>
  </si>
  <si>
    <t>BG2004/006-070.01</t>
  </si>
  <si>
    <t>Employment, Social policy and Education</t>
  </si>
  <si>
    <t>BG2004/006-070.02</t>
  </si>
  <si>
    <t>Energy</t>
  </si>
  <si>
    <t>BG2004/006-070.03</t>
  </si>
  <si>
    <t>Justice and Home affairs</t>
  </si>
  <si>
    <t>BG2004/006-070.04</t>
  </si>
  <si>
    <t>Customs and Finance</t>
  </si>
  <si>
    <t>BG2004/006-070.05</t>
  </si>
  <si>
    <t xml:space="preserve">Economic and Social cohesion </t>
  </si>
  <si>
    <t>National Programme (Part II)</t>
  </si>
  <si>
    <t>BG2004/016-711.01</t>
  </si>
  <si>
    <t>Political criteria</t>
  </si>
  <si>
    <t>BG2004/016-711.02</t>
  </si>
  <si>
    <t>Internal market and Economic criteria</t>
  </si>
  <si>
    <t>BG2004/016-711.03</t>
  </si>
  <si>
    <t>Agriculture</t>
  </si>
  <si>
    <t>BG2004/016-711.04</t>
  </si>
  <si>
    <t>Transport</t>
  </si>
  <si>
    <t>BG2004/016-711.05</t>
  </si>
  <si>
    <t>Employment, Social policy and education</t>
  </si>
  <si>
    <t>BG2004/016-711.06</t>
  </si>
  <si>
    <t>BG2004/016-711.07</t>
  </si>
  <si>
    <t>Environment</t>
  </si>
  <si>
    <t>BG2004/016-711.08</t>
  </si>
  <si>
    <t>BG2004/016-711.09</t>
  </si>
  <si>
    <t>BG2004/016-711.10</t>
  </si>
  <si>
    <t>Administrative reform and capacity</t>
  </si>
  <si>
    <t>BG2004/016-711.11</t>
  </si>
  <si>
    <t>Economic and Social cohesion</t>
  </si>
  <si>
    <t>BG2004/016-711.12</t>
  </si>
  <si>
    <t>Phare project preparation facility</t>
  </si>
  <si>
    <t>BG2004/016-711.12.01</t>
  </si>
  <si>
    <t>Participation in EC programmes</t>
  </si>
  <si>
    <t>BG2004/016-919</t>
  </si>
  <si>
    <t>National Programme (Part III)</t>
  </si>
  <si>
    <t>BG2004/016-919.01</t>
  </si>
  <si>
    <t>BG2004/016-919.02</t>
  </si>
  <si>
    <t>BG2004/016-919.03</t>
  </si>
  <si>
    <t>BG2004/016-919.04</t>
  </si>
  <si>
    <t>BG2004/016-919.05</t>
  </si>
  <si>
    <t>BG2004/016-715</t>
  </si>
  <si>
    <t>Cross-Border Cooperation Programme between Bulgaria and Turkey</t>
  </si>
  <si>
    <t>BG2004/016-782</t>
  </si>
  <si>
    <t>Cross-Border Cooperation Programme between Bulgaria and Greece</t>
  </si>
  <si>
    <t>BG2004/016-783</t>
  </si>
  <si>
    <t>Cross-Border Cooperation Programme between Bulgaria and Romania</t>
  </si>
  <si>
    <t>BG2004/016-785</t>
  </si>
  <si>
    <t>Cross-Border Cooperation Programme between Bulgaria and Serbia&amp;Montenegro</t>
  </si>
  <si>
    <t>BG2004/016-786</t>
  </si>
  <si>
    <t>Cross-Border Cooperation Programme between Bulgaria and the Former Yugoslav Republic of Macedonia</t>
  </si>
  <si>
    <t>BG2004/16815.01</t>
  </si>
  <si>
    <t>Programme for Community support in the field of Nuclear Safety for Bulgaria</t>
  </si>
  <si>
    <t>BG 2004/016-711</t>
  </si>
  <si>
    <t>Budget (MEUR)</t>
  </si>
  <si>
    <t>PHARE</t>
  </si>
  <si>
    <t>National co-financing</t>
  </si>
  <si>
    <t>Contracted</t>
  </si>
  <si>
    <t>Phare</t>
  </si>
  <si>
    <t>Total spent</t>
  </si>
  <si>
    <t>Spent/ Contracted</t>
  </si>
  <si>
    <t>Budgetary line</t>
  </si>
  <si>
    <t>Title</t>
  </si>
</sst>
</file>

<file path=xl/styles.xml><?xml version="1.0" encoding="utf-8"?>
<styleSheet xmlns="http://schemas.openxmlformats.org/spreadsheetml/2006/main">
  <numFmts count="5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0.0"/>
    <numFmt numFmtId="180" formatCode="0.00000000"/>
    <numFmt numFmtId="181" formatCode="#,##0.00_ ;\-#,##0.00\ "/>
    <numFmt numFmtId="182" formatCode="0.0%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_-* #,##0.00000\ _л_в_-;\-* #,##0.00000\ _л_в_-;_-* &quot;-&quot;??\ _л_в_-;_-@_-"/>
    <numFmt numFmtId="189" formatCode="_-* #,##0.000000\ _л_в_-;\-* #,##0.000000\ _л_в_-;_-* &quot;-&quot;??\ _л_в_-;_-@_-"/>
    <numFmt numFmtId="190" formatCode="_-* #,##0.0000000\ _л_в_-;\-* #,##0.0000000\ _л_в_-;_-* &quot;-&quot;??\ _л_в_-;_-@_-"/>
    <numFmt numFmtId="191" formatCode="_-* #,##0.00000000\ _л_в_-;\-* #,##0.00000000\ _л_в_-;_-* &quot;-&quot;??\ _л_в_-;_-@_-"/>
    <numFmt numFmtId="192" formatCode="_-* #,##0.000000000\ _л_в_-;\-* #,##0.000000000\ _л_в_-;_-* &quot;-&quot;??\ _л_в_-;_-@_-"/>
    <numFmt numFmtId="193" formatCode="_-* #,##0.0000000\ _л_в_-;\-* #,##0.0000000\ _л_в_-;_-* &quot;-&quot;???????\ _л_в_-;_-@_-"/>
    <numFmt numFmtId="194" formatCode="_-* #,##0.0000000000\ _л_в_-;\-* #,##0.0000000000\ _л_в_-;_-* &quot;-&quot;??\ _л_в_-;_-@_-"/>
    <numFmt numFmtId="195" formatCode="_-* #,##0.00000000000\ _л_в_-;\-* #,##0.00000000000\ _л_в_-;_-* &quot;-&quot;??\ _л_в_-;_-@_-"/>
    <numFmt numFmtId="196" formatCode="#,##0.00000000_ ;\-#,##0.00000000\ "/>
    <numFmt numFmtId="197" formatCode="_-* #,##0.00000000000\ _л_в_-;\-* #,##0.00000000000\ _л_в_-;_-* &quot;-&quot;???????????\ _л_в_-;_-@_-"/>
    <numFmt numFmtId="198" formatCode="_-* #,##0.00000000\ _л_в_-;\-* #,##0.00000000\ _л_в_-;_-* &quot;-&quot;????????\ _л_в_-;_-@_-"/>
    <numFmt numFmtId="199" formatCode="#,##0.0_ ;\-#,##0.0\ "/>
    <numFmt numFmtId="200" formatCode="#,##0_ ;\-#,##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"/>
    <numFmt numFmtId="207" formatCode="#,##0.00000"/>
    <numFmt numFmtId="208" formatCode="#,##0.000000"/>
    <numFmt numFmtId="209" formatCode="#,##0.000000000_ ;\-#,##0.000000000\ "/>
    <numFmt numFmtId="210" formatCode="#,##0.0000000000_ ;\-#,##0.0000000000\ "/>
    <numFmt numFmtId="211" formatCode="#,##0.00000000000_ ;\-#,##0.00000000000\ "/>
    <numFmt numFmtId="212" formatCode="#,##0.000000000000_ ;\-#,##0.000000000000\ "/>
    <numFmt numFmtId="213" formatCode="#,##0.0000000000000_ ;\-#,##0.0000000000000\ "/>
  </numFmts>
  <fonts count="6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2" fontId="4" fillId="2" borderId="1" xfId="0" applyNumberFormat="1" applyFont="1" applyFill="1" applyBorder="1" applyAlignment="1">
      <alignment/>
    </xf>
    <xf numFmtId="172" fontId="4" fillId="0" borderId="1" xfId="0" applyNumberFormat="1" applyFont="1" applyBorder="1" applyAlignment="1">
      <alignment/>
    </xf>
    <xf numFmtId="43" fontId="3" fillId="2" borderId="1" xfId="15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 horizontal="right"/>
    </xf>
    <xf numFmtId="10" fontId="3" fillId="2" borderId="2" xfId="19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3" fontId="0" fillId="0" borderId="0" xfId="15" applyFont="1" applyAlignment="1">
      <alignment/>
    </xf>
    <xf numFmtId="10" fontId="4" fillId="0" borderId="0" xfId="19" applyNumberFormat="1" applyFont="1" applyAlignment="1">
      <alignment horizontal="center"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0" fontId="4" fillId="0" borderId="0" xfId="19" applyNumberFormat="1" applyFont="1" applyFill="1" applyBorder="1" applyAlignment="1">
      <alignment/>
    </xf>
    <xf numFmtId="180" fontId="4" fillId="0" borderId="1" xfId="0" applyNumberFormat="1" applyFont="1" applyBorder="1" applyAlignment="1">
      <alignment/>
    </xf>
    <xf numFmtId="172" fontId="1" fillId="3" borderId="3" xfId="15" applyNumberFormat="1" applyFont="1" applyFill="1" applyBorder="1" applyAlignment="1">
      <alignment horizontal="right"/>
    </xf>
    <xf numFmtId="191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2" borderId="0" xfId="0" applyNumberFormat="1" applyFont="1" applyFill="1" applyBorder="1" applyAlignment="1">
      <alignment/>
    </xf>
    <xf numFmtId="190" fontId="4" fillId="0" borderId="0" xfId="0" applyNumberFormat="1" applyFont="1" applyAlignment="1">
      <alignment/>
    </xf>
    <xf numFmtId="180" fontId="4" fillId="0" borderId="1" xfId="0" applyNumberFormat="1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center" vertical="center" wrapText="1"/>
    </xf>
    <xf numFmtId="174" fontId="1" fillId="3" borderId="2" xfId="0" applyNumberFormat="1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4" borderId="2" xfId="0" applyNumberFormat="1" applyFont="1" applyFill="1" applyBorder="1" applyAlignment="1">
      <alignment horizontal="center" vertical="center" wrapText="1"/>
    </xf>
    <xf numFmtId="172" fontId="1" fillId="5" borderId="2" xfId="0" applyNumberFormat="1" applyFont="1" applyFill="1" applyBorder="1" applyAlignment="1">
      <alignment horizontal="center" vertical="center" wrapText="1"/>
    </xf>
    <xf numFmtId="43" fontId="1" fillId="2" borderId="2" xfId="1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2" fontId="3" fillId="2" borderId="2" xfId="0" applyNumberFormat="1" applyFont="1" applyFill="1" applyBorder="1" applyAlignment="1">
      <alignment horizontal="center" vertical="center" wrapText="1"/>
    </xf>
    <xf numFmtId="172" fontId="3" fillId="4" borderId="2" xfId="0" applyNumberFormat="1" applyFont="1" applyFill="1" applyBorder="1" applyAlignment="1">
      <alignment horizontal="center" vertical="center" wrapText="1"/>
    </xf>
    <xf numFmtId="172" fontId="3" fillId="0" borderId="2" xfId="15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172" fontId="3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72" fontId="1" fillId="3" borderId="2" xfId="0" applyNumberFormat="1" applyFont="1" applyFill="1" applyBorder="1" applyAlignment="1">
      <alignment horizontal="center" vertical="center" wrapText="1"/>
    </xf>
    <xf numFmtId="172" fontId="1" fillId="3" borderId="2" xfId="15" applyNumberFormat="1" applyFont="1" applyFill="1" applyBorder="1" applyAlignment="1">
      <alignment horizontal="center" vertical="center" wrapText="1"/>
    </xf>
    <xf numFmtId="180" fontId="4" fillId="0" borderId="4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0" fontId="4" fillId="0" borderId="4" xfId="19" applyNumberFormat="1" applyFont="1" applyBorder="1" applyAlignment="1">
      <alignment/>
    </xf>
    <xf numFmtId="0" fontId="4" fillId="0" borderId="4" xfId="0" applyFont="1" applyBorder="1" applyAlignment="1">
      <alignment/>
    </xf>
    <xf numFmtId="173" fontId="4" fillId="0" borderId="4" xfId="0" applyNumberFormat="1" applyFont="1" applyBorder="1" applyAlignment="1">
      <alignment/>
    </xf>
    <xf numFmtId="10" fontId="1" fillId="2" borderId="2" xfId="19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10" fontId="1" fillId="2" borderId="2" xfId="19" applyNumberFormat="1" applyFont="1" applyFill="1" applyBorder="1" applyAlignment="1">
      <alignment horizontal="center" vertical="center"/>
    </xf>
    <xf numFmtId="10" fontId="1" fillId="6" borderId="2" xfId="19" applyNumberFormat="1" applyFont="1" applyFill="1" applyBorder="1" applyAlignment="1">
      <alignment horizontal="center"/>
    </xf>
    <xf numFmtId="172" fontId="3" fillId="0" borderId="2" xfId="0" applyNumberFormat="1" applyFont="1" applyBorder="1" applyAlignment="1">
      <alignment horizontal="center" vertical="center" wrapText="1"/>
    </xf>
    <xf numFmtId="10" fontId="3" fillId="3" borderId="2" xfId="19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vertical="center" wrapText="1"/>
    </xf>
    <xf numFmtId="172" fontId="3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justify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6" borderId="2" xfId="0" applyNumberFormat="1" applyFont="1" applyFill="1" applyBorder="1" applyAlignment="1">
      <alignment wrapText="1"/>
    </xf>
    <xf numFmtId="172" fontId="1" fillId="6" borderId="2" xfId="0" applyNumberFormat="1" applyFont="1" applyFill="1" applyBorder="1" applyAlignment="1">
      <alignment horizontal="center" vertical="center"/>
    </xf>
    <xf numFmtId="172" fontId="1" fillId="4" borderId="5" xfId="0" applyNumberFormat="1" applyFont="1" applyFill="1" applyBorder="1" applyAlignment="1">
      <alignment horizontal="center" vertical="center" wrapText="1"/>
    </xf>
    <xf numFmtId="172" fontId="1" fillId="4" borderId="6" xfId="0" applyNumberFormat="1" applyFont="1" applyFill="1" applyBorder="1" applyAlignment="1">
      <alignment horizontal="center" vertical="center" wrapText="1"/>
    </xf>
    <xf numFmtId="172" fontId="3" fillId="4" borderId="6" xfId="0" applyNumberFormat="1" applyFont="1" applyFill="1" applyBorder="1" applyAlignment="1">
      <alignment horizontal="center" vertical="center" wrapText="1"/>
    </xf>
    <xf numFmtId="172" fontId="1" fillId="3" borderId="6" xfId="0" applyNumberFormat="1" applyFont="1" applyFill="1" applyBorder="1" applyAlignment="1">
      <alignment horizontal="center" vertical="center" wrapText="1"/>
    </xf>
    <xf numFmtId="172" fontId="1" fillId="0" borderId="5" xfId="0" applyNumberFormat="1" applyFont="1" applyFill="1" applyBorder="1" applyAlignment="1">
      <alignment horizontal="center" vertical="center" wrapText="1"/>
    </xf>
    <xf numFmtId="172" fontId="3" fillId="0" borderId="2" xfId="15" applyNumberFormat="1" applyFont="1" applyFill="1" applyBorder="1" applyAlignment="1">
      <alignment horizontal="center" vertical="center" wrapText="1"/>
    </xf>
    <xf numFmtId="172" fontId="1" fillId="5" borderId="6" xfId="0" applyNumberFormat="1" applyFont="1" applyFill="1" applyBorder="1" applyAlignment="1">
      <alignment horizontal="center" vertical="center" wrapText="1"/>
    </xf>
    <xf numFmtId="172" fontId="3" fillId="0" borderId="6" xfId="15" applyNumberFormat="1" applyFont="1" applyBorder="1" applyAlignment="1">
      <alignment horizontal="center" vertical="center" wrapText="1"/>
    </xf>
    <xf numFmtId="172" fontId="3" fillId="0" borderId="6" xfId="0" applyNumberFormat="1" applyFont="1" applyBorder="1" applyAlignment="1">
      <alignment horizontal="center" vertical="center" wrapText="1"/>
    </xf>
    <xf numFmtId="172" fontId="3" fillId="0" borderId="6" xfId="15" applyNumberFormat="1" applyFont="1" applyFill="1" applyBorder="1" applyAlignment="1">
      <alignment horizontal="center" vertical="center" wrapText="1"/>
    </xf>
    <xf numFmtId="172" fontId="3" fillId="0" borderId="6" xfId="0" applyNumberFormat="1" applyFont="1" applyFill="1" applyBorder="1" applyAlignment="1">
      <alignment horizontal="center" vertical="center" wrapText="1"/>
    </xf>
    <xf numFmtId="172" fontId="1" fillId="0" borderId="6" xfId="0" applyNumberFormat="1" applyFont="1" applyBorder="1" applyAlignment="1">
      <alignment horizontal="center" vertical="center" wrapText="1"/>
    </xf>
    <xf numFmtId="172" fontId="1" fillId="0" borderId="6" xfId="15" applyNumberFormat="1" applyFont="1" applyBorder="1" applyAlignment="1">
      <alignment horizontal="center" vertical="center" wrapText="1"/>
    </xf>
    <xf numFmtId="172" fontId="3" fillId="3" borderId="6" xfId="0" applyNumberFormat="1" applyFont="1" applyFill="1" applyBorder="1" applyAlignment="1">
      <alignment horizontal="center" vertical="center"/>
    </xf>
    <xf numFmtId="172" fontId="1" fillId="5" borderId="6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172" fontId="1" fillId="3" borderId="7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2" fontId="1" fillId="4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7"/>
  <sheetViews>
    <sheetView tabSelected="1" view="pageBreakPreview" zoomScale="75" zoomScaleNormal="75" zoomScaleSheetLayoutView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3" sqref="G33:H43"/>
    </sheetView>
  </sheetViews>
  <sheetFormatPr defaultColWidth="9.140625" defaultRowHeight="12.75"/>
  <cols>
    <col min="1" max="1" width="27.7109375" style="8" customWidth="1"/>
    <col min="2" max="2" width="74.57421875" style="9" bestFit="1" customWidth="1"/>
    <col min="3" max="3" width="16.8515625" style="10" customWidth="1"/>
    <col min="4" max="4" width="19.28125" style="10" customWidth="1"/>
    <col min="5" max="5" width="17.57421875" style="11" customWidth="1"/>
    <col min="6" max="6" width="16.421875" style="36" customWidth="1"/>
    <col min="7" max="7" width="15.8515625" style="14" customWidth="1"/>
    <col min="8" max="8" width="18.140625" style="14" customWidth="1"/>
    <col min="9" max="9" width="14.8515625" style="12" customWidth="1"/>
    <col min="10" max="10" width="26.7109375" style="2" customWidth="1"/>
    <col min="11" max="11" width="14.8515625" style="2" customWidth="1"/>
    <col min="12" max="12" width="14.421875" style="2" customWidth="1"/>
    <col min="13" max="13" width="15.57421875" style="2" customWidth="1"/>
    <col min="14" max="14" width="24.7109375" style="2" customWidth="1"/>
    <col min="15" max="15" width="12.140625" style="2" customWidth="1"/>
    <col min="16" max="16" width="9.140625" style="2" customWidth="1"/>
    <col min="17" max="17" width="12.28125" style="2" customWidth="1"/>
    <col min="18" max="16384" width="9.140625" style="2" customWidth="1"/>
  </cols>
  <sheetData>
    <row r="1" spans="1:9" s="1" customFormat="1" ht="64.5" customHeight="1">
      <c r="A1" s="41" t="s">
        <v>64</v>
      </c>
      <c r="B1" s="41" t="s">
        <v>65</v>
      </c>
      <c r="C1" s="102" t="s">
        <v>57</v>
      </c>
      <c r="D1" s="102"/>
      <c r="E1" s="100" t="s">
        <v>60</v>
      </c>
      <c r="F1" s="100"/>
      <c r="G1" s="101" t="s">
        <v>62</v>
      </c>
      <c r="H1" s="101"/>
      <c r="I1" s="46" t="s">
        <v>63</v>
      </c>
    </row>
    <row r="2" spans="1:9" s="1" customFormat="1" ht="76.5" customHeight="1">
      <c r="A2" s="41"/>
      <c r="B2" s="41"/>
      <c r="C2" s="43" t="s">
        <v>58</v>
      </c>
      <c r="D2" s="43" t="s">
        <v>59</v>
      </c>
      <c r="E2" s="44" t="s">
        <v>61</v>
      </c>
      <c r="F2" s="44" t="s">
        <v>59</v>
      </c>
      <c r="G2" s="45" t="s">
        <v>58</v>
      </c>
      <c r="H2" s="45" t="s">
        <v>59</v>
      </c>
      <c r="I2" s="46"/>
    </row>
    <row r="3" spans="1:17" s="62" customFormat="1" ht="15.75">
      <c r="A3" s="53"/>
      <c r="B3" s="54"/>
      <c r="C3" s="55"/>
      <c r="D3" s="55"/>
      <c r="E3" s="56"/>
      <c r="F3" s="57"/>
      <c r="G3" s="58"/>
      <c r="H3" s="57"/>
      <c r="I3" s="69"/>
      <c r="J3" s="59"/>
      <c r="K3" s="60"/>
      <c r="L3" s="61"/>
      <c r="P3" s="63"/>
      <c r="Q3" s="63"/>
    </row>
    <row r="4" spans="1:9" ht="15.75">
      <c r="A4" s="49" t="s">
        <v>1</v>
      </c>
      <c r="B4" s="70" t="s">
        <v>2</v>
      </c>
      <c r="C4" s="43">
        <v>12.972000000000001</v>
      </c>
      <c r="D4" s="43">
        <f>SUM(D5:D9)</f>
        <v>3.414</v>
      </c>
      <c r="E4" s="77">
        <f>SUM(E5:E9)</f>
        <v>9.87909185</v>
      </c>
      <c r="F4" s="77">
        <f>SUM(F5:F9)</f>
        <v>2.6270805600000005</v>
      </c>
      <c r="G4" s="81">
        <f>SUM(G5:G9)</f>
        <v>8.826205179999999</v>
      </c>
      <c r="H4" s="81">
        <f>SUM(H5:H9)</f>
        <v>2.3430202600000003</v>
      </c>
      <c r="I4" s="64">
        <f>G4/E4</f>
        <v>0.8934227269078381</v>
      </c>
    </row>
    <row r="5" spans="1:9" s="1" customFormat="1" ht="18" customHeight="1">
      <c r="A5" s="47" t="s">
        <v>3</v>
      </c>
      <c r="B5" s="48" t="s">
        <v>4</v>
      </c>
      <c r="C5" s="50">
        <v>2.425</v>
      </c>
      <c r="D5" s="50">
        <v>0.575</v>
      </c>
      <c r="E5" s="51">
        <f>0.69984+1.69774106</f>
        <v>2.3975810600000003</v>
      </c>
      <c r="F5" s="51">
        <v>0.56591367</v>
      </c>
      <c r="G5" s="52">
        <f>2.20485361+0.00115061</f>
        <v>2.2060042199999996</v>
      </c>
      <c r="H5" s="68">
        <f>0.50207123+0.00038352</f>
        <v>0.50245475</v>
      </c>
      <c r="I5" s="15">
        <f>G5/E5</f>
        <v>0.9200957818710828</v>
      </c>
    </row>
    <row r="6" spans="1:10" ht="15.75">
      <c r="A6" s="47" t="s">
        <v>5</v>
      </c>
      <c r="B6" s="48" t="s">
        <v>6</v>
      </c>
      <c r="C6" s="50">
        <v>1</v>
      </c>
      <c r="D6" s="50">
        <v>0.138</v>
      </c>
      <c r="E6" s="51">
        <f>(0.749307-0.0126)+0.0126+0.1</f>
        <v>0.8493069999999999</v>
      </c>
      <c r="F6" s="51">
        <f>0.032578+0.08825</f>
        <v>0.12082799999999999</v>
      </c>
      <c r="G6" s="82">
        <v>0.6189642</v>
      </c>
      <c r="H6" s="68">
        <v>0.10480041</v>
      </c>
      <c r="I6" s="15">
        <f>G6/E6</f>
        <v>0.7287873525121069</v>
      </c>
      <c r="J6" s="17"/>
    </row>
    <row r="7" spans="1:10" ht="15.75">
      <c r="A7" s="47" t="s">
        <v>7</v>
      </c>
      <c r="B7" s="48" t="s">
        <v>8</v>
      </c>
      <c r="C7" s="50">
        <v>6.95</v>
      </c>
      <c r="D7" s="50">
        <v>1.92</v>
      </c>
      <c r="E7" s="51">
        <f>0.07913889+0.45+0.87424875+0.4447125+0.98939529+0.21607225+1.14337+0.46460612+0.172188+0.007812</f>
        <v>4.8415438</v>
      </c>
      <c r="F7" s="51">
        <f>0.02769861+0.2233+0.29141625+0.1482375+0.33210471+0.07252775+0.15244888+0.108612+0.002604</f>
        <v>1.3589497000000004</v>
      </c>
      <c r="G7" s="52">
        <f>4.67038856+0.0007812</f>
        <v>4.67116976</v>
      </c>
      <c r="H7" s="68">
        <f>1.30567322+0.0002604</f>
        <v>1.30593362</v>
      </c>
      <c r="I7" s="15">
        <f>G7/E7</f>
        <v>0.9648099765202991</v>
      </c>
      <c r="J7" s="16"/>
    </row>
    <row r="8" spans="1:10" ht="15" customHeight="1">
      <c r="A8" s="47" t="s">
        <v>9</v>
      </c>
      <c r="B8" s="48" t="s">
        <v>10</v>
      </c>
      <c r="C8" s="50">
        <v>0.397</v>
      </c>
      <c r="D8" s="50">
        <v>0.121</v>
      </c>
      <c r="E8" s="51">
        <f>0.031548+0.23325+0.03141</f>
        <v>0.296208</v>
      </c>
      <c r="F8" s="51">
        <f>0.07775+0.01047</f>
        <v>0.08821999999999999</v>
      </c>
      <c r="G8" s="52">
        <v>0.29532172</v>
      </c>
      <c r="H8" s="68">
        <v>0.08822</v>
      </c>
      <c r="I8" s="15">
        <f>G8/E8</f>
        <v>0.9970079133581807</v>
      </c>
      <c r="J8" s="18"/>
    </row>
    <row r="9" spans="1:12" ht="15.75">
      <c r="A9" s="47" t="s">
        <v>11</v>
      </c>
      <c r="B9" s="48" t="s">
        <v>12</v>
      </c>
      <c r="C9" s="50">
        <v>2.2</v>
      </c>
      <c r="D9" s="50">
        <v>0.66</v>
      </c>
      <c r="E9" s="51">
        <v>1.49445199</v>
      </c>
      <c r="F9" s="51">
        <v>0.49316919</v>
      </c>
      <c r="G9" s="52">
        <f>1.03358231+0.00116297</f>
        <v>1.0347452799999999</v>
      </c>
      <c r="H9" s="68">
        <f>0.3410822+0.00052928</f>
        <v>0.34161148</v>
      </c>
      <c r="I9" s="15">
        <f>G9/C9</f>
        <v>0.47033876363636357</v>
      </c>
      <c r="J9" s="22"/>
      <c r="K9" s="21"/>
      <c r="L9" s="19"/>
    </row>
    <row r="10" spans="1:17" s="62" customFormat="1" ht="15.75">
      <c r="A10" s="53"/>
      <c r="B10" s="54"/>
      <c r="C10" s="55"/>
      <c r="D10" s="57"/>
      <c r="E10" s="56"/>
      <c r="F10" s="57"/>
      <c r="G10" s="58"/>
      <c r="H10" s="57"/>
      <c r="I10" s="69"/>
      <c r="J10" s="59"/>
      <c r="K10" s="60"/>
      <c r="L10" s="61"/>
      <c r="P10" s="63"/>
      <c r="Q10" s="63"/>
    </row>
    <row r="11" spans="1:10" ht="15.75">
      <c r="A11" s="49" t="s">
        <v>56</v>
      </c>
      <c r="B11" s="70" t="s">
        <v>13</v>
      </c>
      <c r="C11" s="43">
        <v>144.328</v>
      </c>
      <c r="D11" s="43">
        <f>SUM(D12:D24)</f>
        <v>30.730323</v>
      </c>
      <c r="E11" s="78">
        <f>SUM(E12:E24)</f>
        <v>124.26603057999999</v>
      </c>
      <c r="F11" s="78">
        <f>SUM(F12:F24)</f>
        <v>29.63753387</v>
      </c>
      <c r="G11" s="83">
        <f>SUM(G12:G24)</f>
        <v>107.83178405999999</v>
      </c>
      <c r="H11" s="83">
        <f>SUM(H12:H24)</f>
        <v>25.6082645</v>
      </c>
      <c r="I11" s="64">
        <f aca="true" t="shared" si="0" ref="I11:I17">G11/E11</f>
        <v>0.8677494851706882</v>
      </c>
      <c r="J11" s="28"/>
    </row>
    <row r="12" spans="1:10" ht="15.75">
      <c r="A12" s="47" t="s">
        <v>14</v>
      </c>
      <c r="B12" s="48" t="s">
        <v>15</v>
      </c>
      <c r="C12" s="50">
        <v>16.65</v>
      </c>
      <c r="D12" s="50">
        <f>3.398+0.086667+0.683334+0.233</f>
        <v>4.401001</v>
      </c>
      <c r="E12" s="79">
        <f>0.3416+0.0084+0.199425+0.1724+2.60370942+6.10657054+0.415-0.415+0.22977621+0.32807148+0.18938285+0.23240721+0.14092341+0.02850295-0.02850295+0.03846477+0.09466449+0.11059146+0.06134989+0.10056555+0.08370725+0.14150729+0.13158251+0.08777451+0.15165512+0.1162474+0.11748034+0.11957746+0.10370922+0.10234675+0.06379831+0.85640845+0.79329+0.59836+0.4994</f>
        <v>14.925146889999999</v>
      </c>
      <c r="F12" s="79">
        <f>0.03488+2.03552351+0.07664988+0.1094397+0.06317526+0.07752754+0.04700992+0.00951999+0.01284723+0.03155483+0.03686382+0.02044997+0.03352185+0.02790242+0.0471691+0.04386084+0.02925817+0.05055171+0.03874913+0.03916011+0.03985915+0.03456974+0.03411558+0.0212661+0.28546949+0.26443+0.415+0.02850295</f>
        <v>3.98882799</v>
      </c>
      <c r="G12" s="84">
        <f>6.95473026+(4.9289431+0.00281112)</f>
        <v>11.88648448</v>
      </c>
      <c r="H12" s="85">
        <f>1.51394186+(1.57722335+0.00093704)</f>
        <v>3.09210225</v>
      </c>
      <c r="I12" s="15">
        <f t="shared" si="0"/>
        <v>0.7964065323848883</v>
      </c>
      <c r="J12" s="19"/>
    </row>
    <row r="13" spans="1:9" ht="15.75">
      <c r="A13" s="47" t="s">
        <v>16</v>
      </c>
      <c r="B13" s="48" t="s">
        <v>17</v>
      </c>
      <c r="C13" s="50">
        <v>3.853</v>
      </c>
      <c r="D13" s="50">
        <v>0.23</v>
      </c>
      <c r="E13" s="79">
        <f>(1.280119+0.002946)+(0.0198-0.002946)+0.96299761+(0.78568854-0.0096)+(0.0096-0.0072)+0.0072+0.126375+0.54541784</f>
        <v>3.7203979899999995</v>
      </c>
      <c r="F13" s="79">
        <f>0.04298+0.055253+0.038662+0.0342656+0.042125+0.18180594</f>
        <v>0.39509154</v>
      </c>
      <c r="G13" s="84">
        <v>2.93789115</v>
      </c>
      <c r="H13" s="85">
        <v>0.32057786</v>
      </c>
      <c r="I13" s="15">
        <f t="shared" si="0"/>
        <v>0.7896712012791944</v>
      </c>
    </row>
    <row r="14" spans="1:10" ht="15.75">
      <c r="A14" s="47" t="s">
        <v>18</v>
      </c>
      <c r="B14" s="48" t="s">
        <v>19</v>
      </c>
      <c r="C14" s="50">
        <v>10.98871</v>
      </c>
      <c r="D14" s="50">
        <v>1.272462</v>
      </c>
      <c r="E14" s="79">
        <f>0.2495319+0.86427005+0.0192+0.49812268+0.0096+0.07852+0.9827+0.0193+0.19809+0.758+0.055137+0.068445+0.19173375+1.42772175+0.10119375+0.1+(0.26131192-0.00000006)+0.022275+0.074772+(0.2286948-0.00000006)+0.58125+0.5625</f>
        <v>7.35236948</v>
      </c>
      <c r="F14" s="79">
        <f>0.0248885+0.0805+0.02822+0.02806+0.018379+0.022815+0.06391125+0.47590725+0.03373125+0.04987763+(0.08718808+0.00000006)+0.007425+0.024924+(0.0763052+0.00000006)</f>
        <v>1.0221322800000001</v>
      </c>
      <c r="G14" s="84">
        <v>7.06804456</v>
      </c>
      <c r="H14" s="85">
        <v>0.97923184</v>
      </c>
      <c r="I14" s="15">
        <f t="shared" si="0"/>
        <v>0.9613288041666807</v>
      </c>
      <c r="J14" s="19"/>
    </row>
    <row r="15" spans="1:10" ht="15.75">
      <c r="A15" s="47" t="s">
        <v>20</v>
      </c>
      <c r="B15" s="48" t="s">
        <v>21</v>
      </c>
      <c r="C15" s="50">
        <v>0.9</v>
      </c>
      <c r="D15" s="50">
        <v>0</v>
      </c>
      <c r="E15" s="79">
        <f>0.8856+0.0144</f>
        <v>0.9</v>
      </c>
      <c r="F15" s="79">
        <v>0.05579</v>
      </c>
      <c r="G15" s="84">
        <v>0.88529989</v>
      </c>
      <c r="H15" s="85">
        <v>0.03095189</v>
      </c>
      <c r="I15" s="15">
        <f t="shared" si="0"/>
        <v>0.9836665444444443</v>
      </c>
      <c r="J15" s="20"/>
    </row>
    <row r="16" spans="1:9" ht="15.75">
      <c r="A16" s="47" t="s">
        <v>22</v>
      </c>
      <c r="B16" s="48" t="s">
        <v>23</v>
      </c>
      <c r="C16" s="50">
        <v>3.45</v>
      </c>
      <c r="D16" s="50">
        <v>0.32</v>
      </c>
      <c r="E16" s="79">
        <f>1.5738+0.0162+(0.81315636-0.0153)+0.0153+0.0478125+0.35932275+0.375225</f>
        <v>3.18551661</v>
      </c>
      <c r="F16" s="79">
        <f>0.155377+0.081262+0.0159375+0.11977425+0.125075</f>
        <v>0.49742574999999994</v>
      </c>
      <c r="G16" s="84">
        <v>2.59691748</v>
      </c>
      <c r="H16" s="85">
        <v>0.36155105000000004</v>
      </c>
      <c r="I16" s="15">
        <f t="shared" si="0"/>
        <v>0.81522647593415</v>
      </c>
    </row>
    <row r="17" spans="1:17" ht="15.75">
      <c r="A17" s="47" t="s">
        <v>24</v>
      </c>
      <c r="B17" s="48" t="s">
        <v>6</v>
      </c>
      <c r="C17" s="50">
        <v>1.5</v>
      </c>
      <c r="D17" s="50">
        <v>0.2</v>
      </c>
      <c r="E17" s="79">
        <f>0.1572615+0.056898+0.130152+0.1+0.71855</f>
        <v>1.1628615</v>
      </c>
      <c r="F17" s="79">
        <f>0.018966+0.0524205+0.043384</f>
        <v>0.1147705</v>
      </c>
      <c r="G17" s="84">
        <v>0.7317315</v>
      </c>
      <c r="H17" s="85">
        <v>0.1147705</v>
      </c>
      <c r="I17" s="15">
        <f t="shared" si="0"/>
        <v>0.6292507749203151</v>
      </c>
      <c r="K17" s="24"/>
      <c r="L17" s="18"/>
      <c r="N17" s="26"/>
      <c r="P17" s="23"/>
      <c r="Q17" s="23"/>
    </row>
    <row r="18" spans="1:17" ht="15.75">
      <c r="A18" s="47" t="s">
        <v>25</v>
      </c>
      <c r="B18" s="48" t="s">
        <v>26</v>
      </c>
      <c r="C18" s="50">
        <v>8.228</v>
      </c>
      <c r="D18" s="50">
        <v>0.906</v>
      </c>
      <c r="E18" s="79">
        <f>0.7+0.7+0.4004+0.0096+0.7+1.69745+0.04553913+0.05777079+1.2496+0.07025925</f>
        <v>5.63061917</v>
      </c>
      <c r="F18" s="79">
        <f>0.04885+0.019375+0.038705+0.03496+0.01517971+0.01925693+0.02341975</f>
        <v>0.19974639</v>
      </c>
      <c r="G18" s="84">
        <v>5.20035618</v>
      </c>
      <c r="H18" s="85">
        <v>0.12108367</v>
      </c>
      <c r="I18" s="15">
        <f aca="true" t="shared" si="1" ref="I18:I24">G18/E18</f>
        <v>0.9235851374405774</v>
      </c>
      <c r="J18" s="16"/>
      <c r="K18" s="24"/>
      <c r="L18" s="18"/>
      <c r="P18" s="23"/>
      <c r="Q18" s="23"/>
    </row>
    <row r="19" spans="1:17" ht="15.75">
      <c r="A19" s="47" t="s">
        <v>27</v>
      </c>
      <c r="B19" s="48" t="s">
        <v>8</v>
      </c>
      <c r="C19" s="50">
        <v>24.512</v>
      </c>
      <c r="D19" s="50">
        <v>4.174</v>
      </c>
      <c r="E19" s="79">
        <f>0.68739775+0.0126+1.180798+(0.0192-0.0072)+0.0072+(0.99966688-0.0192-0.036+0.00661035)+(0.0192-0.00661035)+0.036+1.17839974+0.0216+0.7811+0.0189+0.7811+0.0189+(1-0.0216)+(0.0216-0.00664)+0.00664+0.83050635+0.0192+(1.19066428-0.0117)+0.0117-0.0078665+0.0078665+(0.832-0.0000002)+0.018+0.14945625+0.1998+0.79999926-0.015075+0.015075+0.19495+0.08963458+0.09725632+0.11910937+0.003675+0.0672+0.04207896+0.06033216+0.2138565+0.1415625+0.734235+(1.2-0.0162)+0.0162+0.16128+0.172188+0.2169+0.46279125+0.14589+1.47580683+1.63125+1.19022+0.007812+0.7776+0.3084405</f>
        <v>20.253357280000003</v>
      </c>
      <c r="F19" s="79">
        <f>0.06996+0.119892+0.04763+0.11971777+0.082566-0.002641+0.07903+0.095494+0.08497064+0.10848675+(0.085-0.00000002)+0.04981875+0.07999993+0.051725+0.02987819+0.03241877+0.03970313+0.001225+0.0224+0.01402632+0.02071104+0.0712855+0.0471875+0.244745+0.11755378+0.05376+0.108612+0.0723+0.15426375+0.04863+0.49219317+0.54375+0.39674+0.002604+0.2592+0.1028135</f>
        <v>3.9476504699999997</v>
      </c>
      <c r="G19" s="84">
        <f>18.92819772+0.0007812</f>
        <v>18.92897892</v>
      </c>
      <c r="H19" s="85">
        <f>3.41687963+0.0002604</f>
        <v>3.41714003</v>
      </c>
      <c r="I19" s="15">
        <f t="shared" si="1"/>
        <v>0.9346094407119448</v>
      </c>
      <c r="J19" s="34"/>
      <c r="K19" s="24"/>
      <c r="L19" s="18"/>
      <c r="P19" s="23"/>
      <c r="Q19" s="23"/>
    </row>
    <row r="20" spans="1:17" ht="15.75">
      <c r="A20" s="47" t="s">
        <v>28</v>
      </c>
      <c r="B20" s="48" t="s">
        <v>10</v>
      </c>
      <c r="C20" s="50">
        <v>19.80125</v>
      </c>
      <c r="D20" s="50">
        <v>2.43875</v>
      </c>
      <c r="E20" s="79">
        <f>0.6888+0.0112+0.007194+0.93835249+0.0144+1.280885+0.0144+0.93198086+0.018+(0.76238901+0.000748)+(0.0162-0.000748)+0.5904+0.0096+0.785185-0.000012+0.0126+0.0045+0.6-0.0104+0.0104+0.12592351+0.459934+1.299962+0.08980342-0.0144+0.0144-0.0040956+0.0040956+0.1738+0.1592+0.51253383+0.1306756+0.599746+0.1679+0.02842875+4.035+0.08591025+0.62045+(0.5141-0.0014)+0.14175+0.700125+0.13519511+0.03209631+0.49825</f>
        <v>17.19545814</v>
      </c>
      <c r="F20" s="79">
        <f>0.04918+0.04997+0.02158+0.0559+0.04502+0.016216+0.077198+0.02368+0.04227429+0.0849+0.02999658+0.17270217+0.0440244+0.00947625+1.345+0.02863675+0.04725+0.046675+0.05856469+0.01390369</f>
        <v>2.2621478199999996</v>
      </c>
      <c r="G20" s="84">
        <f>12.8229099+0.014175</f>
        <v>12.8370849</v>
      </c>
      <c r="H20" s="85">
        <f>1.19581559+0.004725</f>
        <v>1.2005405900000001</v>
      </c>
      <c r="I20" s="15">
        <f t="shared" si="1"/>
        <v>0.7465392777258101</v>
      </c>
      <c r="J20" s="38"/>
      <c r="K20" s="24"/>
      <c r="L20" s="18"/>
      <c r="P20" s="23"/>
      <c r="Q20" s="23"/>
    </row>
    <row r="21" spans="1:17" ht="15.75">
      <c r="A21" s="47" t="s">
        <v>29</v>
      </c>
      <c r="B21" s="48" t="s">
        <v>30</v>
      </c>
      <c r="C21" s="50">
        <v>15.80175</v>
      </c>
      <c r="D21" s="50">
        <v>0.96725</v>
      </c>
      <c r="E21" s="79">
        <f>0.10219+0.15+0.24965+0.938-0.0108+0.0108+0.089816+0.084816+0.099844-0.000056-0.004168+(0.09999-0.00012)+(0.09228+0.039586)+0.10498768+0.099216+0.09519+0.096848+(0.6-0.0096)+0.0096+(0.6-0.00945)+0.00945+0.808256+0.52805+1.09495922+0.7860123+1.42064+0.82865+0.3941+0.34159125+1.306+0.17799102+1.86057</f>
        <v>13.08488947</v>
      </c>
      <c r="F21" s="79">
        <f>0.01451+0.00988+0.0938+0.0091+0.06+0.04506+0.36498641+0.2620041+0.11386375+0.05933034</f>
        <v>1.0325346</v>
      </c>
      <c r="G21" s="84">
        <v>12.56642257</v>
      </c>
      <c r="H21" s="85">
        <v>0.93936643</v>
      </c>
      <c r="I21" s="15">
        <f t="shared" si="1"/>
        <v>0.9603766695019702</v>
      </c>
      <c r="K21" s="24"/>
      <c r="L21" s="18"/>
      <c r="P21" s="23"/>
      <c r="Q21" s="23"/>
    </row>
    <row r="22" spans="1:17" ht="15.75">
      <c r="A22" s="47" t="s">
        <v>31</v>
      </c>
      <c r="B22" s="48" t="s">
        <v>32</v>
      </c>
      <c r="C22" s="50">
        <v>26.127</v>
      </c>
      <c r="D22" s="50">
        <f>6.592+0.234+0.34</f>
        <v>7.1659999999999995</v>
      </c>
      <c r="E22" s="79">
        <f>0.18981+0.19994+(2.2635-0.00005)+0.3995+0.059202+0.01575225+0.73906924+(1.37404925-0.08104428-0.00121875-0.00036556)+(6.54286198-0.020208)+0.16979497+0.07079115+0.15237914+0.16689279+0.1633565+0.073275+0.8+0.346792+0.13850025+0.2685825+0.06658875+0.0809415+0.0733034+0.0889095+0.67440944+0.19458024+0.0734138+0.04631323+0.13750179+0.02460128+0.04783363+0.168019+0.09563581+0.17678552+4.87241185+0.116475+1.46044416+0.1095439+0.01381978+0.0227022+1.38955584+0.34995</f>
        <v>24.314902050000004</v>
      </c>
      <c r="F22" s="79">
        <f>0.019734+0.00525075+0.24635632+(0.45801605-0.02701472-0.00040625-0.00012186)+(2.18095388-0.006736)+0.05659832+0.12846392+0.05079304+0.05563093+0.05445217+0.024425+0.11559734+0.04616675+0.0895275+0.02219625+0.0269805+0.02443447+0.0296365+0.22470152+0.06483076+0.0244602+0.01543077+0.04581321+0.00819672+0.01593733+0.055981+0.03186419+0.0589285+1.62480016+0.038825+0.78949984+0.03649813+0.00460451+0.00756398+0.70103585+0.11665</f>
        <v>7.466556530000001</v>
      </c>
      <c r="G22" s="86">
        <f>(8.3051834+0.00140398)+2.3211715+3.12885113+(6.5340072+0.00277118)</f>
        <v>20.293388389999997</v>
      </c>
      <c r="H22" s="87">
        <f>(2.58293164+0.00041505)+0.02498475+1.56402638+(1.96542372+0.00093085)</f>
        <v>6.13871239</v>
      </c>
      <c r="I22" s="15">
        <f t="shared" si="1"/>
        <v>0.8346070384437347</v>
      </c>
      <c r="K22" s="24"/>
      <c r="L22" s="18"/>
      <c r="P22" s="23"/>
      <c r="Q22" s="23"/>
    </row>
    <row r="23" spans="1:17" ht="15.75">
      <c r="A23" s="47" t="s">
        <v>33</v>
      </c>
      <c r="B23" s="48" t="s">
        <v>34</v>
      </c>
      <c r="C23" s="50">
        <v>2</v>
      </c>
      <c r="D23" s="50">
        <v>0</v>
      </c>
      <c r="E23" s="79">
        <f>0.064844+0.032722+0.004532+0.099675+0.080304+0.029348+0.040952+0.008688+0.09396+0.026572+0.032944+0.010988+0.1037+0.096318+0.03078+0.034524+0.015694+0.011844+0.045184+0.03515+0.042388+0.119416+0.037999+0.042814+0.005+0.127+0.012727+0.012668+0.031181+0.19708+0.199988+0.009018+0.015492+0.00499+0.025772+0.0049+0.013492+0.00058+0.01869+0.011044+0.0049+0.034504+0.046124+0.0971+0.010632</f>
        <v>2.024222</v>
      </c>
      <c r="F23" s="78"/>
      <c r="G23" s="84">
        <v>1.68784404</v>
      </c>
      <c r="H23" s="88"/>
      <c r="I23" s="15">
        <f t="shared" si="1"/>
        <v>0.8338235825912376</v>
      </c>
      <c r="J23" s="33"/>
      <c r="K23" s="24"/>
      <c r="L23" s="18"/>
      <c r="P23" s="23"/>
      <c r="Q23" s="23"/>
    </row>
    <row r="24" spans="1:17" ht="15.75">
      <c r="A24" s="47" t="s">
        <v>35</v>
      </c>
      <c r="B24" s="48" t="s">
        <v>36</v>
      </c>
      <c r="C24" s="50">
        <v>10.51629</v>
      </c>
      <c r="D24" s="50">
        <v>8.65486</v>
      </c>
      <c r="E24" s="79">
        <v>10.51629</v>
      </c>
      <c r="F24" s="79">
        <v>8.65486</v>
      </c>
      <c r="G24" s="84">
        <v>10.21134</v>
      </c>
      <c r="H24" s="85">
        <v>8.892236</v>
      </c>
      <c r="I24" s="15">
        <f t="shared" si="1"/>
        <v>0.9710021309796516</v>
      </c>
      <c r="J24" s="19"/>
      <c r="K24" s="24"/>
      <c r="L24" s="18"/>
      <c r="P24" s="23"/>
      <c r="Q24" s="23"/>
    </row>
    <row r="25" spans="1:74" s="62" customFormat="1" ht="15.75">
      <c r="A25" s="53"/>
      <c r="B25" s="54"/>
      <c r="C25" s="55"/>
      <c r="D25" s="55"/>
      <c r="E25" s="56"/>
      <c r="F25" s="57"/>
      <c r="G25" s="58"/>
      <c r="H25" s="57"/>
      <c r="I25" s="94"/>
      <c r="J25" s="95"/>
      <c r="K25" s="96"/>
      <c r="L25" s="97"/>
      <c r="M25" s="98"/>
      <c r="N25" s="98"/>
      <c r="O25" s="98"/>
      <c r="P25" s="99"/>
      <c r="Q25" s="99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</row>
    <row r="26" spans="1:17" ht="15.75">
      <c r="A26" s="49" t="s">
        <v>37</v>
      </c>
      <c r="B26" s="70" t="s">
        <v>38</v>
      </c>
      <c r="C26" s="43">
        <v>15.225</v>
      </c>
      <c r="D26" s="43">
        <f>SUM(D27:D31)</f>
        <v>2.285</v>
      </c>
      <c r="E26" s="78">
        <f>SUM(E27:E31)</f>
        <v>12.68018716</v>
      </c>
      <c r="F26" s="78">
        <f>SUM(F27:F31)</f>
        <v>2.070996523786423</v>
      </c>
      <c r="G26" s="89">
        <f>G27+G28+G29+G30+G31</f>
        <v>10.39273466</v>
      </c>
      <c r="H26" s="89">
        <f>H27+H28+H29+H30+H31</f>
        <v>1.8291125637864234</v>
      </c>
      <c r="I26" s="64">
        <f aca="true" t="shared" si="2" ref="I26:I31">G26/E26</f>
        <v>0.8196042005424155</v>
      </c>
      <c r="J26" s="33"/>
      <c r="K26" s="24"/>
      <c r="L26" s="18"/>
      <c r="P26" s="23"/>
      <c r="Q26" s="23"/>
    </row>
    <row r="27" spans="1:17" ht="15.75">
      <c r="A27" s="47" t="s">
        <v>39</v>
      </c>
      <c r="B27" s="48" t="s">
        <v>15</v>
      </c>
      <c r="C27" s="50">
        <v>4.3</v>
      </c>
      <c r="D27" s="50">
        <v>1.1</v>
      </c>
      <c r="E27" s="79">
        <f>0.98425+0.01575+0.07730925+0.1302075+0.0825+0.48800925+1.2979344+0.45492503+0.0605355+0.19795425+0.2469225+0.1287525+0.06587766+0.06808699</f>
        <v>4.29901483</v>
      </c>
      <c r="F27" s="79">
        <f>0.09618+0.02576975+0.0434025+0.0275+0.16266975+0.4326448+0.15164168+0.0201785+0.06598475+0.0823075+0.0429175+0.02195922+0.02269566</f>
        <v>1.1958516099999998</v>
      </c>
      <c r="G27" s="84">
        <f>0.77231236+3.29901483</f>
        <v>4.07132719</v>
      </c>
      <c r="H27" s="85">
        <f>0.0262667+1.09967161</f>
        <v>1.12593831</v>
      </c>
      <c r="I27" s="15">
        <f t="shared" si="2"/>
        <v>0.9470372517882195</v>
      </c>
      <c r="J27" s="24"/>
      <c r="K27" s="24"/>
      <c r="L27" s="18"/>
      <c r="P27" s="23"/>
      <c r="Q27" s="23"/>
    </row>
    <row r="28" spans="1:17" ht="15.75">
      <c r="A28" s="47" t="s">
        <v>40</v>
      </c>
      <c r="B28" s="48" t="s">
        <v>8</v>
      </c>
      <c r="C28" s="50">
        <v>1.8</v>
      </c>
      <c r="D28" s="50">
        <v>0.3</v>
      </c>
      <c r="E28" s="79">
        <f>0.882+0.018+0.06996255+0.02601798+0.13144695</f>
        <v>1.12742748</v>
      </c>
      <c r="F28" s="79">
        <f>0.09+0.02343745+0.00871602+0.04375305</f>
        <v>0.16590652</v>
      </c>
      <c r="G28" s="84">
        <v>1.03886738</v>
      </c>
      <c r="H28" s="85">
        <v>0.1131298</v>
      </c>
      <c r="I28" s="15">
        <f t="shared" si="2"/>
        <v>0.9214494044441776</v>
      </c>
      <c r="J28" s="27"/>
      <c r="K28" s="24"/>
      <c r="L28" s="18"/>
      <c r="P28" s="23"/>
      <c r="Q28" s="23"/>
    </row>
    <row r="29" spans="1:17" ht="15.75">
      <c r="A29" s="47" t="s">
        <v>41</v>
      </c>
      <c r="B29" s="48" t="s">
        <v>10</v>
      </c>
      <c r="C29" s="50">
        <v>0.9</v>
      </c>
      <c r="D29" s="50">
        <v>0.235</v>
      </c>
      <c r="E29" s="79">
        <f>0.19678+0.3507292</f>
        <v>0.5475092</v>
      </c>
      <c r="F29" s="79">
        <f>0.05382+0.1177448</f>
        <v>0.1715648</v>
      </c>
      <c r="G29" s="84">
        <v>0.5475092</v>
      </c>
      <c r="H29" s="85">
        <v>0.1715648</v>
      </c>
      <c r="I29" s="15">
        <f t="shared" si="2"/>
        <v>1</v>
      </c>
      <c r="J29" s="19"/>
      <c r="K29" s="24"/>
      <c r="L29" s="25"/>
      <c r="M29" s="20"/>
      <c r="P29" s="23"/>
      <c r="Q29" s="23"/>
    </row>
    <row r="30" spans="1:9" ht="15.75">
      <c r="A30" s="47" t="s">
        <v>42</v>
      </c>
      <c r="B30" s="48" t="s">
        <v>30</v>
      </c>
      <c r="C30" s="50">
        <v>6.425</v>
      </c>
      <c r="D30" s="50">
        <v>0.05</v>
      </c>
      <c r="E30" s="79">
        <f>1.8231+0.13206516+0.01338613+3.324</f>
        <v>5.29255129</v>
      </c>
      <c r="F30" s="79">
        <f>0.04402172+0.00446205</f>
        <v>0.04848377</v>
      </c>
      <c r="G30" s="84">
        <v>3.63457517</v>
      </c>
      <c r="H30" s="85">
        <v>0.04848377</v>
      </c>
      <c r="I30" s="15">
        <f t="shared" si="2"/>
        <v>0.6867340476921482</v>
      </c>
    </row>
    <row r="31" spans="1:10" ht="15.75">
      <c r="A31" s="47" t="s">
        <v>43</v>
      </c>
      <c r="B31" s="48" t="s">
        <v>32</v>
      </c>
      <c r="C31" s="50">
        <v>1.8</v>
      </c>
      <c r="D31" s="50">
        <v>0.6</v>
      </c>
      <c r="E31" s="79">
        <f>0.088664+1.32502036</f>
        <v>1.41368436</v>
      </c>
      <c r="F31" s="79">
        <f>0.47122814+0.010115/1.95583+0.0149/1.95583+0.010115/1.95583</f>
        <v>0.4891898237864232</v>
      </c>
      <c r="G31" s="84">
        <f>1.09973995+0.00071577</f>
        <v>1.10045572</v>
      </c>
      <c r="H31" s="87">
        <f>0.35174322+0.03513/1.95583+0.00029098</f>
        <v>0.3699958837864232</v>
      </c>
      <c r="I31" s="15">
        <f t="shared" si="2"/>
        <v>0.7784309928985845</v>
      </c>
      <c r="J31" s="19"/>
    </row>
    <row r="32" spans="1:9" ht="15.75">
      <c r="A32" s="65"/>
      <c r="B32" s="54"/>
      <c r="C32" s="57"/>
      <c r="D32" s="57"/>
      <c r="E32" s="55"/>
      <c r="F32" s="55"/>
      <c r="G32" s="71"/>
      <c r="H32" s="71"/>
      <c r="I32" s="71"/>
    </row>
    <row r="33" spans="1:9" ht="21.75" customHeight="1">
      <c r="A33" s="49" t="s">
        <v>44</v>
      </c>
      <c r="B33" s="72" t="s">
        <v>45</v>
      </c>
      <c r="C33" s="43">
        <v>3</v>
      </c>
      <c r="D33" s="43">
        <v>0.85</v>
      </c>
      <c r="E33" s="78">
        <f>0.011996+0.440596+0.0346+0.16271504+2.315</f>
        <v>2.96490704</v>
      </c>
      <c r="F33" s="78">
        <f>0.06138496+2.63093458</f>
        <v>2.6923195399999997</v>
      </c>
      <c r="G33" s="93">
        <f>0.75088603+0.0004062</f>
        <v>0.75129223</v>
      </c>
      <c r="H33" s="93">
        <v>0.25140283</v>
      </c>
      <c r="I33" s="66">
        <f>G33/E33</f>
        <v>0.2533948686634034</v>
      </c>
    </row>
    <row r="34" spans="1:9" ht="15.75">
      <c r="A34" s="65"/>
      <c r="B34" s="54"/>
      <c r="C34" s="57"/>
      <c r="D34" s="57"/>
      <c r="E34" s="80"/>
      <c r="F34" s="80"/>
      <c r="G34" s="90"/>
      <c r="H34" s="90"/>
      <c r="I34" s="69"/>
    </row>
    <row r="35" spans="1:9" ht="22.5" customHeight="1">
      <c r="A35" s="49" t="s">
        <v>46</v>
      </c>
      <c r="B35" s="72" t="s">
        <v>47</v>
      </c>
      <c r="C35" s="43">
        <v>20</v>
      </c>
      <c r="D35" s="43">
        <v>5.0285</v>
      </c>
      <c r="E35" s="78">
        <f>0.164502+0.1+0.07546+0.01388+1.53039556+4.06759957+0.93261919+1.3104+0.3394+0.5439115+7.8+0.34775106+0.9462+0.07526135+0.17473865</f>
        <v>18.42211888</v>
      </c>
      <c r="F35" s="78">
        <f>0.51013185+1.36264585+0.1859305+3.84857635+0.11922894+0.10525465+0.24437587</f>
        <v>6.37614401</v>
      </c>
      <c r="G35" s="91">
        <f>11.96939043+0.00748477</f>
        <v>11.9768752</v>
      </c>
      <c r="H35" s="91">
        <f>3.3871638+0.00235156</f>
        <v>3.3895153600000003</v>
      </c>
      <c r="I35" s="66">
        <f>G35/E35</f>
        <v>0.6501355939572572</v>
      </c>
    </row>
    <row r="36" spans="1:9" ht="15.75">
      <c r="A36" s="65"/>
      <c r="B36" s="54"/>
      <c r="C36" s="57"/>
      <c r="D36" s="57"/>
      <c r="E36" s="80"/>
      <c r="F36" s="80"/>
      <c r="G36" s="90"/>
      <c r="H36" s="90"/>
      <c r="I36" s="71"/>
    </row>
    <row r="37" spans="1:9" ht="15.75">
      <c r="A37" s="49" t="s">
        <v>48</v>
      </c>
      <c r="B37" s="72" t="s">
        <v>49</v>
      </c>
      <c r="C37" s="43">
        <v>8</v>
      </c>
      <c r="D37" s="73">
        <v>2</v>
      </c>
      <c r="E37" s="78">
        <f>0.1+0.012938+0.727552+0.3947+0.2854405+4.6+0.799462+0.04977+1</f>
        <v>7.9698625</v>
      </c>
      <c r="F37" s="78">
        <f>0.0994595+7.91068491+0.38956547</f>
        <v>8.39970988</v>
      </c>
      <c r="G37" s="92">
        <f>3.93503174+0.00058845</f>
        <v>3.93562019</v>
      </c>
      <c r="H37" s="91">
        <v>1.81561477</v>
      </c>
      <c r="I37" s="66">
        <f>G37/E37</f>
        <v>0.4938128091921285</v>
      </c>
    </row>
    <row r="38" spans="1:9" ht="15.75">
      <c r="A38" s="65"/>
      <c r="B38" s="54"/>
      <c r="C38" s="57"/>
      <c r="D38" s="57"/>
      <c r="E38" s="80"/>
      <c r="F38" s="80"/>
      <c r="G38" s="90"/>
      <c r="H38" s="90"/>
      <c r="I38" s="71"/>
    </row>
    <row r="39" spans="1:9" ht="31.5">
      <c r="A39" s="49" t="s">
        <v>50</v>
      </c>
      <c r="B39" s="74" t="s">
        <v>51</v>
      </c>
      <c r="C39" s="43">
        <v>3</v>
      </c>
      <c r="D39" s="43">
        <v>0.4</v>
      </c>
      <c r="E39" s="78">
        <f>0.1175-0.04+1.41753038+0.56709002+0.04</f>
        <v>2.1021204</v>
      </c>
      <c r="F39" s="78">
        <v>0.16741967</v>
      </c>
      <c r="G39" s="91">
        <f>1.84527784+0.00117206</f>
        <v>1.8464499</v>
      </c>
      <c r="H39" s="91">
        <f>0.14806259+0.00010747</f>
        <v>0.14817006</v>
      </c>
      <c r="I39" s="66">
        <f>G39/E39</f>
        <v>0.8783749494082261</v>
      </c>
    </row>
    <row r="40" spans="1:9" ht="15.75">
      <c r="A40" s="65"/>
      <c r="B40" s="54"/>
      <c r="C40" s="57"/>
      <c r="D40" s="57"/>
      <c r="E40" s="80"/>
      <c r="F40" s="80"/>
      <c r="G40" s="90"/>
      <c r="H40" s="90"/>
      <c r="I40" s="69"/>
    </row>
    <row r="41" spans="1:10" ht="31.5">
      <c r="A41" s="49" t="s">
        <v>52</v>
      </c>
      <c r="B41" s="74" t="s">
        <v>53</v>
      </c>
      <c r="C41" s="43">
        <v>2</v>
      </c>
      <c r="D41" s="43">
        <v>0.3</v>
      </c>
      <c r="E41" s="78">
        <f>0.0994-0.027+0.39960368+1.43183351+0.0254</f>
        <v>1.92923719</v>
      </c>
      <c r="F41" s="78">
        <v>0.34733847</v>
      </c>
      <c r="G41" s="91">
        <f>1.71110248+0.00282292</f>
        <v>1.7139254000000002</v>
      </c>
      <c r="H41" s="91">
        <f>0.31219769+0.00063789</f>
        <v>0.31283558</v>
      </c>
      <c r="I41" s="66">
        <f>G41/E41</f>
        <v>0.8883953766203315</v>
      </c>
      <c r="J41" s="33"/>
    </row>
    <row r="42" spans="1:9" ht="15.75">
      <c r="A42" s="65"/>
      <c r="B42" s="54"/>
      <c r="C42" s="57"/>
      <c r="D42" s="57"/>
      <c r="E42" s="80"/>
      <c r="F42" s="80"/>
      <c r="G42" s="90"/>
      <c r="H42" s="90"/>
      <c r="I42" s="69"/>
    </row>
    <row r="43" spans="1:9" ht="31.5">
      <c r="A43" s="49" t="s">
        <v>54</v>
      </c>
      <c r="B43" s="72" t="s">
        <v>55</v>
      </c>
      <c r="C43" s="43">
        <v>6.27</v>
      </c>
      <c r="D43" s="43">
        <v>0.82</v>
      </c>
      <c r="E43" s="78">
        <f>0.799854+1.2982+0.3054465+0.95908+1.04993</f>
        <v>4.4125105</v>
      </c>
      <c r="F43" s="78">
        <v>0.1018155</v>
      </c>
      <c r="G43" s="92">
        <v>4.15392186</v>
      </c>
      <c r="H43" s="92">
        <v>0.1018155</v>
      </c>
      <c r="I43" s="66">
        <f>G43/E43</f>
        <v>0.9413964816627631</v>
      </c>
    </row>
    <row r="44" spans="1:9" ht="15.75">
      <c r="A44" s="42" t="s">
        <v>0</v>
      </c>
      <c r="B44" s="75"/>
      <c r="C44" s="76">
        <v>214.795</v>
      </c>
      <c r="D44" s="76">
        <v>44.87432299999999</v>
      </c>
      <c r="E44" s="76">
        <f>E4+E11+E26+E43+E35+E37+E39+E41+E33</f>
        <v>184.6260661</v>
      </c>
      <c r="F44" s="76">
        <f>F4+F11+F26+F43+F35+F37+F39+F41+F33</f>
        <v>52.42035802378642</v>
      </c>
      <c r="G44" s="76">
        <f>G4+G11+G26+G43+G35+G37+G39+G41+G33</f>
        <v>151.42880868</v>
      </c>
      <c r="H44" s="76">
        <f>H4+H11+H26+H43+H35+H37+H39+H41+H33</f>
        <v>35.799751423786425</v>
      </c>
      <c r="I44" s="67">
        <f>G44/E44</f>
        <v>0.820191925651391</v>
      </c>
    </row>
    <row r="45" spans="1:9" ht="15.75">
      <c r="A45" s="3"/>
      <c r="B45" s="4"/>
      <c r="C45" s="5"/>
      <c r="D45" s="5"/>
      <c r="E45" s="30"/>
      <c r="F45" s="30"/>
      <c r="G45" s="13"/>
      <c r="H45" s="13"/>
      <c r="I45" s="6"/>
    </row>
    <row r="46" spans="1:9" ht="16.5" thickBot="1">
      <c r="A46" s="3"/>
      <c r="B46" s="7"/>
      <c r="C46" s="29"/>
      <c r="D46" s="29"/>
      <c r="E46" s="32"/>
      <c r="F46" s="30"/>
      <c r="G46" s="13"/>
      <c r="H46" s="13"/>
      <c r="I46" s="6"/>
    </row>
    <row r="47" spans="1:9" ht="15.75">
      <c r="A47" s="3"/>
      <c r="B47" s="7"/>
      <c r="C47" s="5"/>
      <c r="D47" s="5"/>
      <c r="E47" s="29"/>
      <c r="F47" s="29"/>
      <c r="G47" s="13"/>
      <c r="H47" s="13"/>
      <c r="I47" s="6"/>
    </row>
    <row r="48" spans="1:9" ht="15.75">
      <c r="A48" s="3"/>
      <c r="B48" s="4"/>
      <c r="C48" s="5"/>
      <c r="D48" s="5"/>
      <c r="E48" s="29"/>
      <c r="F48" s="29"/>
      <c r="G48" s="13"/>
      <c r="H48" s="13"/>
      <c r="I48" s="6"/>
    </row>
    <row r="49" spans="1:9" ht="15.75">
      <c r="A49" s="3"/>
      <c r="B49" s="4"/>
      <c r="C49" s="5"/>
      <c r="D49" s="5"/>
      <c r="E49" s="29"/>
      <c r="F49" s="29"/>
      <c r="G49" s="13"/>
      <c r="H49" s="13"/>
      <c r="I49" s="6"/>
    </row>
    <row r="50" spans="1:9" ht="15.75">
      <c r="A50" s="3"/>
      <c r="B50" s="4"/>
      <c r="C50" s="5"/>
      <c r="D50" s="5"/>
      <c r="E50" s="29"/>
      <c r="F50" s="29"/>
      <c r="G50" s="40"/>
      <c r="H50" s="40"/>
      <c r="I50" s="6"/>
    </row>
    <row r="51" spans="1:6" ht="15.75">
      <c r="A51" s="39"/>
      <c r="D51" s="37"/>
      <c r="E51" s="29"/>
      <c r="F51" s="29"/>
    </row>
    <row r="52" spans="4:6" ht="15.75">
      <c r="D52" s="37"/>
      <c r="E52" s="29"/>
      <c r="F52" s="29"/>
    </row>
    <row r="53" spans="4:6" ht="15.75">
      <c r="D53" s="37"/>
      <c r="E53" s="29"/>
      <c r="F53" s="29"/>
    </row>
    <row r="54" spans="4:6" ht="15.75">
      <c r="D54" s="37"/>
      <c r="E54" s="29"/>
      <c r="F54" s="29"/>
    </row>
    <row r="55" spans="4:6" ht="15.75">
      <c r="D55" s="37"/>
      <c r="E55" s="29"/>
      <c r="F55" s="29"/>
    </row>
    <row r="56" spans="4:6" ht="15.75">
      <c r="D56" s="37"/>
      <c r="E56" s="29"/>
      <c r="F56" s="29"/>
    </row>
    <row r="57" spans="4:6" ht="15.75">
      <c r="D57" s="37"/>
      <c r="E57" s="29"/>
      <c r="F57" s="29"/>
    </row>
    <row r="58" spans="4:6" ht="15.75">
      <c r="D58" s="37"/>
      <c r="E58" s="31"/>
      <c r="F58" s="35"/>
    </row>
    <row r="59" ht="15.75">
      <c r="E59" s="31"/>
    </row>
    <row r="60" ht="15.75">
      <c r="E60" s="31"/>
    </row>
    <row r="61" ht="15.75">
      <c r="E61" s="31"/>
    </row>
    <row r="62" ht="15.75">
      <c r="E62" s="31"/>
    </row>
    <row r="63" ht="15.75">
      <c r="E63" s="31"/>
    </row>
    <row r="64" ht="15.75">
      <c r="E64" s="31"/>
    </row>
    <row r="65" ht="15.75">
      <c r="E65" s="31"/>
    </row>
    <row r="66" ht="15.75">
      <c r="E66" s="31"/>
    </row>
    <row r="67" ht="15.75">
      <c r="A67" s="39"/>
    </row>
  </sheetData>
  <mergeCells count="3">
    <mergeCell ref="E1:F1"/>
    <mergeCell ref="G1:H1"/>
    <mergeCell ref="C1:D1"/>
  </mergeCells>
  <printOptions horizontalCentered="1"/>
  <pageMargins left="0.669291338582677" right="0.47244094488189" top="1.02362204724409" bottom="0.52" header="0.511811023622047" footer="0.24"/>
  <pageSetup fitToHeight="1" fitToWidth="1" horizontalDpi="1200" verticalDpi="1200" orientation="landscape" paperSize="9" scale="57" r:id="rId1"/>
  <headerFooter alignWithMargins="0">
    <oddHeader>&amp;C&amp;"Times New Roman,Bold"&amp;14General financial information 2004 Programmes&amp;RThe information is prepared by the National Fund, Ministry of Finance</oddHeader>
    <oddFooter>&amp;L&amp;"Times New Roman,Bold"&amp;12Date: 31 March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ANeykova</dc:creator>
  <cp:keywords/>
  <dc:description/>
  <cp:lastModifiedBy>zhgeorgieva</cp:lastModifiedBy>
  <cp:lastPrinted>2008-11-10T13:52:19Z</cp:lastPrinted>
  <dcterms:created xsi:type="dcterms:W3CDTF">2000-02-16T08:24:42Z</dcterms:created>
  <dcterms:modified xsi:type="dcterms:W3CDTF">2009-04-13T14:08:20Z</dcterms:modified>
  <cp:category/>
  <cp:version/>
  <cp:contentType/>
  <cp:contentStatus/>
</cp:coreProperties>
</file>