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5" windowWidth="14805" windowHeight="7770" activeTab="0"/>
  </bookViews>
  <sheets>
    <sheet name="април 2016" sheetId="1" r:id="rId1"/>
  </sheets>
  <definedNames>
    <definedName name="_xlnm.Print_Area" localSheetId="0">'април 2016'!$A$1:$N$31</definedName>
  </definedNames>
  <calcPr calcId="145621"/>
</workbook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<sst xmlns="http://schemas.openxmlformats.org/spreadsheetml/2006/main" count="76" uniqueCount="68">
  <si>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</si>
  <si>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</si>
  <si>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</si>
  <si>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</si>
  <si>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</si>
  <si>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</si>
  <si>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</si>
  <si>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</si>
  <si>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</si>
  <si>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</si>
  <si>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</si>
  <si>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</si>
  <si>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</si>
  <si>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</si>
  <si>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</si>
  <si>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</si>
  <si>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</si>
  <si>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</si>
  <si>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</si>
  <si>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</si>
  <si>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</si>
  <si>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</si>
  <si>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</si>
  <si>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</si>
  <si>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</si>
  <si>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</si>
  <si>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</si>
  <si>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</si>
  <si>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</si>
  <si>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</si>
  <si>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</si>
  <si>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</si>
  <si>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</si>
  <si>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</si>
  <si>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</si>
  <si>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ИКОНОМИКАТА, ЕНЕРГЕТИКАТА И ТУРИЗМА:</t>
  </si>
  <si>
    <t>ОБЩО ЗА ПРОГРАМЕН ОПЕРАТОР МИНИСТЕРСТВО НА ОБРАЗОВАНИЕТО, МЛАДЕЖТА И НАУКАТА: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</si>
  <si>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</si>
  <si>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</si>
  <si>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</si>
  <si>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</si>
  <si>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</si>
  <si>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</si>
  <si>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икономиката, енергетиката и туризма</t>
  </si>
  <si>
    <t>Министерство на образованието, младежта и наукатa</t>
  </si>
  <si>
    <t>Министерство на здравеопазването</t>
  </si>
  <si>
    <t xml:space="preserve">Министерство на културата </t>
  </si>
  <si>
    <t>Министерство на образованието, младежта и науката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</si>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</sst>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0" fillId="0" borderId="0" xfId="0" applyProtection="1"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0" fontId="2" fillId="2" borderId="13" xfId="2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right" vertical="top" wrapText="1"/>
      <protection/>
    </xf>
    <xf numFmtId="0" fontId="7" fillId="0" borderId="15" xfId="0" applyFont="1" applyBorder="1" applyAlignment="1" applyProtection="1">
      <alignment horizontal="right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5" xfId="0" applyFont="1" applyFill="1" applyBorder="1" applyAlignment="1" applyProtection="1">
      <alignment horizontal="right" vertical="top" wrapText="1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 topLeftCell="A1">
      <selection activeCell="P25" sqref="P24:P25"/>
    </sheetView>
  </sheetViews>
  <sheetFormatPr defaultColWidth="9.140625" defaultRowHeight="15"/>
  <cols>
    <col min="1" max="1" width="1.28515625" style="1" customWidth="1"/>
    <col min="2" max="2" width="37.57421875" style="1" customWidth="1"/>
    <col min="3" max="3" width="50.421875" style="1" customWidth="1"/>
    <col min="4" max="4" width="13.7109375" style="1" customWidth="1"/>
    <col min="5" max="7" width="14.00390625" style="1" bestFit="1" customWidth="1"/>
    <col min="8" max="8" width="15.421875" style="1" bestFit="1" customWidth="1"/>
    <col min="9" max="9" width="13.57421875" style="1" customWidth="1"/>
    <col min="10" max="10" width="12.140625" style="1" customWidth="1"/>
    <col min="11" max="13" width="13.28125" style="1" customWidth="1"/>
    <col min="14" max="14" width="15.57421875" style="1" customWidth="1"/>
    <col min="15" max="15" width="1.28515625" style="1" customWidth="1"/>
    <col min="16" max="16" width="17.140625" style="1" customWidth="1"/>
    <col min="17" max="16384" width="9.140625" style="1" customWidth="1"/>
  </cols>
  <sheetData>
    <row r="1" spans="1:14" ht="15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6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2"/>
      <c r="P2" s="32"/>
    </row>
    <row r="3" spans="1:15" ht="15">
      <c r="A3" s="6"/>
      <c r="B3" s="10"/>
      <c r="C3" s="11"/>
      <c r="D3" s="10"/>
      <c r="E3" s="10"/>
      <c r="F3" s="11" t="s">
        <v>32</v>
      </c>
      <c r="G3" s="12">
        <v>42490</v>
      </c>
      <c r="H3" s="13"/>
      <c r="I3" s="13"/>
      <c r="J3" s="13"/>
      <c r="K3" s="10"/>
      <c r="L3" s="10"/>
      <c r="M3" s="10"/>
      <c r="N3" s="10"/>
      <c r="O3" s="14"/>
    </row>
    <row r="4" spans="1:15" ht="35.25" customHeight="1">
      <c r="A4" s="7"/>
      <c r="B4" s="42" t="s">
        <v>53</v>
      </c>
      <c r="C4" s="42" t="s">
        <v>54</v>
      </c>
      <c r="D4" s="42" t="s">
        <v>55</v>
      </c>
      <c r="E4" s="46" t="s">
        <v>56</v>
      </c>
      <c r="F4" s="47"/>
      <c r="G4" s="47"/>
      <c r="H4" s="48"/>
      <c r="I4" s="42" t="s">
        <v>57</v>
      </c>
      <c r="J4" s="38" t="s">
        <v>58</v>
      </c>
      <c r="K4" s="46" t="s">
        <v>65</v>
      </c>
      <c r="L4" s="47"/>
      <c r="M4" s="48"/>
      <c r="N4" s="38" t="s">
        <v>52</v>
      </c>
      <c r="O4" s="7"/>
    </row>
    <row r="5" spans="1:15" ht="15">
      <c r="A5" s="7"/>
      <c r="B5" s="42"/>
      <c r="C5" s="42"/>
      <c r="D5" s="42"/>
      <c r="E5" s="15" t="s">
        <v>59</v>
      </c>
      <c r="F5" s="15" t="s">
        <v>60</v>
      </c>
      <c r="G5" s="15" t="s">
        <v>61</v>
      </c>
      <c r="H5" s="15" t="s">
        <v>62</v>
      </c>
      <c r="I5" s="42"/>
      <c r="J5" s="39"/>
      <c r="K5" s="16" t="s">
        <v>63</v>
      </c>
      <c r="L5" s="16" t="s">
        <v>64</v>
      </c>
      <c r="M5" s="16" t="s">
        <v>62</v>
      </c>
      <c r="N5" s="39"/>
      <c r="O5" s="7"/>
    </row>
    <row r="6" spans="1:15" ht="1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50</v>
      </c>
      <c r="K6" s="2">
        <v>10</v>
      </c>
      <c r="L6" s="2">
        <v>11</v>
      </c>
      <c r="M6" s="2">
        <v>12</v>
      </c>
      <c r="N6" s="2" t="s">
        <v>66</v>
      </c>
      <c r="O6" s="7"/>
    </row>
    <row r="7" spans="1:16" ht="25.5">
      <c r="A7" s="7"/>
      <c r="B7" s="3" t="s">
        <v>41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4">
        <f>154522+39617+66756+35449+55425+14326+111348+132539</f>
        <v>609982</v>
      </c>
      <c r="J7" s="28">
        <f>I7/H7</f>
        <v>0.2995099675930472</v>
      </c>
      <c r="K7" s="29">
        <v>166000</v>
      </c>
      <c r="L7" s="29">
        <f>223100+206395+52523+68956+54170+44648+36755+60185+74891+65000+116675</f>
        <v>1003298</v>
      </c>
      <c r="M7" s="27">
        <f>K7+L7</f>
        <v>1169298</v>
      </c>
      <c r="N7" s="28">
        <f aca="true" t="shared" si="0" ref="N7:N20">M7/(E7+F7)</f>
        <v>0.5741421977806147</v>
      </c>
      <c r="O7" s="7"/>
      <c r="P7" s="35"/>
    </row>
    <row r="8" spans="1:16" ht="25.5">
      <c r="A8" s="7"/>
      <c r="B8" s="3" t="s">
        <v>42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4">
        <f>20847+106001+459833+1429013+580632+100000+120558+135937+161361</f>
        <v>3114182</v>
      </c>
      <c r="J8" s="28">
        <f aca="true" t="shared" si="1" ref="J8:J29">I8/H8</f>
        <v>0.3308818271599429</v>
      </c>
      <c r="K8" s="29">
        <f>2280840</f>
        <v>2280840</v>
      </c>
      <c r="L8" s="29">
        <f>24331+403104+381927+1126022+1782438</f>
        <v>3717822</v>
      </c>
      <c r="M8" s="27">
        <f aca="true" t="shared" si="2" ref="M8:M19">K8+L8</f>
        <v>5998662</v>
      </c>
      <c r="N8" s="28">
        <f t="shared" si="0"/>
        <v>0.74983275</v>
      </c>
      <c r="O8" s="7"/>
      <c r="P8" s="35"/>
    </row>
    <row r="9" spans="1:16" ht="25.5">
      <c r="A9" s="7"/>
      <c r="B9" s="3" t="s">
        <v>42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aca="true" t="shared" si="3" ref="H9:H18">SUM(E9:G9)</f>
        <v>9411765</v>
      </c>
      <c r="I9" s="34">
        <f>40983+200004+6000+3784+607981+419734+622079+110953+90582+54439</f>
        <v>2156539</v>
      </c>
      <c r="J9" s="28">
        <f t="shared" si="1"/>
        <v>0.22913226158961683</v>
      </c>
      <c r="K9" s="29">
        <f>40000+1579084</f>
        <v>1619084</v>
      </c>
      <c r="L9" s="29">
        <f>309992+2393044+973943</f>
        <v>3676979</v>
      </c>
      <c r="M9" s="27">
        <f t="shared" si="2"/>
        <v>5296063</v>
      </c>
      <c r="N9" s="28">
        <f t="shared" si="0"/>
        <v>0.662007875</v>
      </c>
      <c r="O9" s="7"/>
      <c r="P9" s="35"/>
    </row>
    <row r="10" spans="1:15" ht="25.5">
      <c r="A10" s="7"/>
      <c r="B10" s="3" t="s">
        <v>43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4">
        <f>146263+10880+35461+9523+19346+66774+260004+436041+325887+1367315+1282812+158837+313824</f>
        <v>4432967</v>
      </c>
      <c r="J10" s="28">
        <f t="shared" si="1"/>
        <v>0.28415930526410793</v>
      </c>
      <c r="K10" s="29">
        <f>677451</f>
        <v>677451</v>
      </c>
      <c r="L10" s="29">
        <f>4838958+4350503</f>
        <v>9189461</v>
      </c>
      <c r="M10" s="27">
        <f t="shared" si="2"/>
        <v>9866912</v>
      </c>
      <c r="N10" s="28">
        <f t="shared" si="0"/>
        <v>0.7440972621546585</v>
      </c>
      <c r="O10" s="7"/>
    </row>
    <row r="11" spans="1:16" ht="25.5">
      <c r="A11" s="7"/>
      <c r="B11" s="3" t="s">
        <v>44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>E11+G11</f>
        <v>10153074</v>
      </c>
      <c r="I11" s="34">
        <f>1373052+95193+1300625+351169+44809+38519+711348+1472101+148841+1541759-3000+177495+82946+9406+446861</f>
        <v>7791124</v>
      </c>
      <c r="J11" s="28">
        <f t="shared" si="1"/>
        <v>0.7673660213645641</v>
      </c>
      <c r="K11" s="29">
        <f>39300+198616</f>
        <v>237916</v>
      </c>
      <c r="L11" s="29">
        <f>2906528+667250+1165350+1532550+548250+448800</f>
        <v>7268728</v>
      </c>
      <c r="M11" s="27">
        <f t="shared" si="2"/>
        <v>7506644</v>
      </c>
      <c r="N11" s="28">
        <f t="shared" si="0"/>
        <v>0.8698198969121261</v>
      </c>
      <c r="O11" s="7"/>
      <c r="P11" s="35"/>
    </row>
    <row r="12" spans="1:16" ht="15">
      <c r="A12" s="7"/>
      <c r="B12" s="3" t="s">
        <v>45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4">
        <f>46750+118444+200003+9166+30594+457430+444509+211692+336623+124491+153532+94986</f>
        <v>2228220</v>
      </c>
      <c r="J12" s="28">
        <f t="shared" si="1"/>
        <v>0.1411842708118365</v>
      </c>
      <c r="K12" s="29">
        <v>2110282</v>
      </c>
      <c r="L12" s="29">
        <f>559781+180637+548663+598400+790863</f>
        <v>2678344</v>
      </c>
      <c r="M12" s="27">
        <f t="shared" si="2"/>
        <v>4788626</v>
      </c>
      <c r="N12" s="28">
        <f t="shared" si="0"/>
        <v>0.35696056653000374</v>
      </c>
      <c r="O12" s="7"/>
      <c r="P12" s="35"/>
    </row>
    <row r="13" spans="1:16" ht="15">
      <c r="A13" s="7"/>
      <c r="B13" s="3" t="s">
        <v>46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4">
        <f>2429366+321899+307985+72451+201490+159018+45532+309421+74925</f>
        <v>3922087</v>
      </c>
      <c r="J13" s="28">
        <f t="shared" si="1"/>
        <v>0.23812671411609593</v>
      </c>
      <c r="K13" s="29">
        <f>25000+2811102</f>
        <v>2836102</v>
      </c>
      <c r="L13" s="29">
        <f>2225+3783761+2443970+2142583</f>
        <v>8372539</v>
      </c>
      <c r="M13" s="27">
        <f t="shared" si="2"/>
        <v>11208641</v>
      </c>
      <c r="N13" s="28">
        <f t="shared" si="0"/>
        <v>0.8006172142857143</v>
      </c>
      <c r="O13" s="7"/>
      <c r="P13" s="35"/>
    </row>
    <row r="14" spans="1:16" ht="25.5">
      <c r="A14" s="7"/>
      <c r="B14" s="3" t="s">
        <v>47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4">
        <f>129444+63373+556924+169442+4926+466+9520+30262+73364</f>
        <v>1037721</v>
      </c>
      <c r="J14" s="28">
        <f t="shared" si="1"/>
        <v>0.5880418607972093</v>
      </c>
      <c r="K14" s="29">
        <f>7500+287915</f>
        <v>295415</v>
      </c>
      <c r="L14" s="29">
        <f>815632+131207</f>
        <v>946839</v>
      </c>
      <c r="M14" s="27">
        <f t="shared" si="2"/>
        <v>1242254</v>
      </c>
      <c r="N14" s="28">
        <f t="shared" si="0"/>
        <v>0.8281693333333333</v>
      </c>
      <c r="O14" s="7"/>
      <c r="P14" s="35"/>
    </row>
    <row r="15" spans="1:16" ht="38.25">
      <c r="A15" s="7"/>
      <c r="B15" s="3" t="s">
        <v>41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4">
        <f>258786+313914+137842+200712+146485+213368+2658-740+116254</f>
        <v>1389279</v>
      </c>
      <c r="J15" s="28">
        <f t="shared" si="1"/>
        <v>0.5857574422423807</v>
      </c>
      <c r="K15" s="29">
        <f>10080+206472</f>
        <v>216552</v>
      </c>
      <c r="L15" s="29">
        <f>1002915+176885+217855+183090+168001+11475</f>
        <v>1760221</v>
      </c>
      <c r="M15" s="27">
        <f t="shared" si="2"/>
        <v>1976773</v>
      </c>
      <c r="N15" s="28">
        <f t="shared" si="0"/>
        <v>0.9805421626984127</v>
      </c>
      <c r="O15" s="7"/>
      <c r="P15" s="35"/>
    </row>
    <row r="16" spans="1:16" ht="15">
      <c r="A16" s="7"/>
      <c r="B16" s="3" t="s">
        <v>48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4">
        <f>9168+5673+609+1737+80191+34475+1198+38896+242809+39328+11257+59017</f>
        <v>524358</v>
      </c>
      <c r="J16" s="28">
        <f t="shared" si="1"/>
        <v>0.2228521667139125</v>
      </c>
      <c r="K16" s="29">
        <f>10000+395260</f>
        <v>405260</v>
      </c>
      <c r="L16" s="29">
        <f>46750+278800</f>
        <v>325550</v>
      </c>
      <c r="M16" s="27">
        <f t="shared" si="2"/>
        <v>730810</v>
      </c>
      <c r="N16" s="28">
        <f t="shared" si="0"/>
        <v>0.365405</v>
      </c>
      <c r="O16" s="7"/>
      <c r="P16" s="35"/>
    </row>
    <row r="17" spans="1:16" ht="38.25">
      <c r="A17" s="7"/>
      <c r="B17" s="3" t="s">
        <v>48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4">
        <f>10321+9106+228+99+292510+372746+133796+43405+4901+18353+154678+855822+367721+261486</f>
        <v>2525172</v>
      </c>
      <c r="J17" s="28">
        <f t="shared" si="1"/>
        <v>0.3577327268299545</v>
      </c>
      <c r="K17" s="29">
        <v>1647499</v>
      </c>
      <c r="L17" s="29">
        <v>2853134</v>
      </c>
      <c r="M17" s="27">
        <f t="shared" si="2"/>
        <v>4500633</v>
      </c>
      <c r="N17" s="28">
        <f t="shared" si="0"/>
        <v>0.7501055</v>
      </c>
      <c r="O17" s="7"/>
      <c r="P17" s="35"/>
    </row>
    <row r="18" spans="1:16" ht="28.5" customHeight="1">
      <c r="A18" s="7"/>
      <c r="B18" s="3" t="s">
        <v>49</v>
      </c>
      <c r="C18" s="3" t="s">
        <v>24</v>
      </c>
      <c r="D18" s="4" t="s">
        <v>11</v>
      </c>
      <c r="E18" s="26">
        <v>0</v>
      </c>
      <c r="F18" s="26">
        <f>3091000</f>
        <v>3091000</v>
      </c>
      <c r="G18" s="26">
        <v>545471</v>
      </c>
      <c r="H18" s="27">
        <f t="shared" si="3"/>
        <v>3636471</v>
      </c>
      <c r="I18" s="34">
        <f>1000474+168250+262489+246892+734053+8962+3153+341798+1473+34797+56243+6014+89447</f>
        <v>2954045</v>
      </c>
      <c r="J18" s="28">
        <f t="shared" si="1"/>
        <v>0.8123383907090144</v>
      </c>
      <c r="K18" s="29">
        <f>15000+483612</f>
        <v>498612</v>
      </c>
      <c r="L18" s="29">
        <f>2369852+8500+175749</f>
        <v>2554101</v>
      </c>
      <c r="M18" s="27">
        <f t="shared" si="2"/>
        <v>3052713</v>
      </c>
      <c r="N18" s="28">
        <f t="shared" si="0"/>
        <v>0.987613393723714</v>
      </c>
      <c r="O18" s="7"/>
      <c r="P18" s="35"/>
    </row>
    <row r="19" spans="1:16" ht="25.5">
      <c r="A19" s="7"/>
      <c r="B19" s="3" t="s">
        <v>49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4">
        <f>2000534+27727+6826+156285+823933+27559+690317+29782+483071+45165+54950+102766+1196802+105380+37622+92601</f>
        <v>5881320</v>
      </c>
      <c r="J19" s="28">
        <f t="shared" si="1"/>
        <v>0.5809959750362151</v>
      </c>
      <c r="K19" s="29">
        <f>35000+1166337</f>
        <v>1201337</v>
      </c>
      <c r="L19" s="29">
        <f>4110730+33966+1653845</f>
        <v>5798541</v>
      </c>
      <c r="M19" s="27">
        <f t="shared" si="2"/>
        <v>6999878</v>
      </c>
      <c r="N19" s="28">
        <f t="shared" si="0"/>
        <v>0.8135230812142624</v>
      </c>
      <c r="O19" s="7"/>
      <c r="P19" s="35"/>
    </row>
    <row r="20" spans="1:15" ht="15">
      <c r="A20" s="7"/>
      <c r="B20" s="43" t="s">
        <v>31</v>
      </c>
      <c r="C20" s="44"/>
      <c r="D20" s="45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0">
        <f>SUM(I7:I19)</f>
        <v>38566996</v>
      </c>
      <c r="J20" s="31">
        <f t="shared" si="1"/>
        <v>0.36324344415777343</v>
      </c>
      <c r="K20" s="30">
        <f>SUM(K7:K19)</f>
        <v>14192350</v>
      </c>
      <c r="L20" s="30">
        <f>SUM(L7:L19)</f>
        <v>50145557</v>
      </c>
      <c r="M20" s="30">
        <f aca="true" t="shared" si="4" ref="M20:M29">K20+L20</f>
        <v>64337907</v>
      </c>
      <c r="N20" s="31">
        <f t="shared" si="0"/>
        <v>0.7104971965810478</v>
      </c>
      <c r="O20" s="7"/>
    </row>
    <row r="21" spans="1:15" ht="9.75" customHeight="1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5" ht="15">
      <c r="A22" s="7"/>
      <c r="B22" s="40" t="s">
        <v>33</v>
      </c>
      <c r="C22" s="41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1999261</v>
      </c>
      <c r="J22" s="28">
        <f t="shared" si="1"/>
        <v>0.45351530556113206</v>
      </c>
      <c r="K22" s="27">
        <f>K15+K7</f>
        <v>382552</v>
      </c>
      <c r="L22" s="27">
        <f>L15+L7</f>
        <v>2763519</v>
      </c>
      <c r="M22" s="27">
        <f t="shared" si="4"/>
        <v>3146071</v>
      </c>
      <c r="N22" s="28">
        <f aca="true" t="shared" si="5" ref="N22:N29">M22/(E22+F22)</f>
        <v>0.7763092829294773</v>
      </c>
      <c r="O22" s="7"/>
    </row>
    <row r="23" spans="1:15" ht="15">
      <c r="A23" s="7"/>
      <c r="B23" s="40" t="s">
        <v>34</v>
      </c>
      <c r="C23" s="41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5270721</v>
      </c>
      <c r="J23" s="28">
        <f t="shared" si="1"/>
        <v>0.28000704437477986</v>
      </c>
      <c r="K23" s="27">
        <f>K8+K9</f>
        <v>3899924</v>
      </c>
      <c r="L23" s="27">
        <f>L8+L9</f>
        <v>7394801</v>
      </c>
      <c r="M23" s="27">
        <f t="shared" si="4"/>
        <v>11294725</v>
      </c>
      <c r="N23" s="28">
        <f t="shared" si="5"/>
        <v>0.7059203125</v>
      </c>
      <c r="O23" s="7"/>
    </row>
    <row r="24" spans="1:15" ht="15">
      <c r="A24" s="7"/>
      <c r="B24" s="40" t="s">
        <v>35</v>
      </c>
      <c r="C24" s="41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4432967</v>
      </c>
      <c r="J24" s="28">
        <f t="shared" si="1"/>
        <v>0.28415930526410793</v>
      </c>
      <c r="K24" s="27">
        <f>K10</f>
        <v>677451</v>
      </c>
      <c r="L24" s="27">
        <f>L10</f>
        <v>9189461</v>
      </c>
      <c r="M24" s="27">
        <f t="shared" si="4"/>
        <v>9866912</v>
      </c>
      <c r="N24" s="28">
        <f t="shared" si="5"/>
        <v>0.7440972621546585</v>
      </c>
      <c r="O24" s="7"/>
    </row>
    <row r="25" spans="1:15" ht="15">
      <c r="A25" s="7"/>
      <c r="B25" s="40" t="s">
        <v>36</v>
      </c>
      <c r="C25" s="41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8828845</v>
      </c>
      <c r="J25" s="28">
        <f t="shared" si="1"/>
        <v>0.7408128862925814</v>
      </c>
      <c r="K25" s="27">
        <f>K11+K14</f>
        <v>533331</v>
      </c>
      <c r="L25" s="27">
        <f>L11+L14</f>
        <v>8215567</v>
      </c>
      <c r="M25" s="27">
        <f t="shared" si="4"/>
        <v>8748898</v>
      </c>
      <c r="N25" s="28">
        <f t="shared" si="5"/>
        <v>0.8636525574788751</v>
      </c>
      <c r="O25" s="7"/>
    </row>
    <row r="26" spans="1:15" ht="15">
      <c r="A26" s="7"/>
      <c r="B26" s="40" t="s">
        <v>37</v>
      </c>
      <c r="C26" s="41"/>
      <c r="D26" s="5" t="s">
        <v>5</v>
      </c>
      <c r="E26" s="27">
        <f aca="true" t="shared" si="6" ref="E26:I27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2228220</v>
      </c>
      <c r="J26" s="28">
        <f t="shared" si="1"/>
        <v>0.1411842708118365</v>
      </c>
      <c r="K26" s="27">
        <f aca="true" t="shared" si="7" ref="K26:L26">K12</f>
        <v>2110282</v>
      </c>
      <c r="L26" s="27">
        <f t="shared" si="7"/>
        <v>2678344</v>
      </c>
      <c r="M26" s="27">
        <f t="shared" si="4"/>
        <v>4788626</v>
      </c>
      <c r="N26" s="28">
        <f t="shared" si="5"/>
        <v>0.35696056653000374</v>
      </c>
      <c r="O26" s="7"/>
    </row>
    <row r="27" spans="1:15" ht="15">
      <c r="A27" s="7"/>
      <c r="B27" s="40" t="s">
        <v>38</v>
      </c>
      <c r="C27" s="41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3922087</v>
      </c>
      <c r="J27" s="28">
        <f t="shared" si="1"/>
        <v>0.23812671411609593</v>
      </c>
      <c r="K27" s="27">
        <f aca="true" t="shared" si="8" ref="K27:L27">K13</f>
        <v>2836102</v>
      </c>
      <c r="L27" s="27">
        <f t="shared" si="8"/>
        <v>8372539</v>
      </c>
      <c r="M27" s="27">
        <f t="shared" si="4"/>
        <v>11208641</v>
      </c>
      <c r="N27" s="28">
        <f t="shared" si="5"/>
        <v>0.8006172142857143</v>
      </c>
      <c r="O27" s="7"/>
    </row>
    <row r="28" spans="1:15" ht="15">
      <c r="A28" s="7"/>
      <c r="B28" s="40" t="s">
        <v>39</v>
      </c>
      <c r="C28" s="41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3049530</v>
      </c>
      <c r="J28" s="28">
        <f t="shared" si="1"/>
        <v>0.324012586800944</v>
      </c>
      <c r="K28" s="27">
        <f>K17+K16</f>
        <v>2052759</v>
      </c>
      <c r="L28" s="27">
        <f>L17+L16</f>
        <v>3178684</v>
      </c>
      <c r="M28" s="27">
        <f t="shared" si="4"/>
        <v>5231443</v>
      </c>
      <c r="N28" s="28">
        <f t="shared" si="5"/>
        <v>0.653930375</v>
      </c>
      <c r="O28" s="7"/>
    </row>
    <row r="29" spans="1:15" ht="15">
      <c r="A29" s="7"/>
      <c r="B29" s="40" t="s">
        <v>40</v>
      </c>
      <c r="C29" s="41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8835365</v>
      </c>
      <c r="J29" s="28">
        <f t="shared" si="1"/>
        <v>0.6421379147696158</v>
      </c>
      <c r="K29" s="27">
        <f>K18+K19</f>
        <v>1699949</v>
      </c>
      <c r="L29" s="27">
        <f>L18+L19</f>
        <v>8352642</v>
      </c>
      <c r="M29" s="27">
        <f t="shared" si="4"/>
        <v>10052591</v>
      </c>
      <c r="N29" s="28">
        <f t="shared" si="5"/>
        <v>0.8595337483113019</v>
      </c>
      <c r="O29" s="7"/>
    </row>
    <row r="30" spans="1:15" ht="8.25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ht="15">
      <c r="B31" s="1" t="s">
        <v>51</v>
      </c>
    </row>
  </sheetData>
  <mergeCells count="18">
    <mergeCell ref="B25:C25"/>
    <mergeCell ref="B26:C26"/>
    <mergeCell ref="B27:C27"/>
    <mergeCell ref="B28:C28"/>
    <mergeCell ref="B29:C29"/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2016-05-14T08:18:42Z</dcterms:modified>
  <cp:category/>
  <cp:version/>
  <cp:contentType/>
  <cp:contentStatus/>
</cp:coreProperties>
</file>